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ME" sheetId="1" state="visible" r:id="rId1"/>
    <sheet name="Parameters" sheetId="2" state="visible" r:id="rId2"/>
    <sheet name="Calculator" sheetId="3" state="visible" r:id="rId3"/>
    <sheet name="Deals" sheetId="4" state="visible" r:id="rId4"/>
    <sheet name="Contract_Schedule" sheetId="5" state="visible" r:id="rId5"/>
    <sheet name="Forecast_Monthly_Y1" sheetId="6" state="visible" r:id="rId6"/>
    <sheet name="Forecast_Quarterly_Y2Y3" sheetId="7" state="visible" r:id="rId7"/>
    <sheet name="Pipeline_Summary" sheetId="8" state="visible" r:id="rId8"/>
    <sheet name="Client_View" sheetId="9" state="visible" r:id="rId9"/>
    <sheet name="HubSpot_Sync" sheetId="10" state="visible" r:id="rId10"/>
    <sheet name="Forecast_PL" sheetId="11" state="visible" r:id="rId11"/>
    <sheet name="Runway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0.0%;(0.0%);-"/>
    <numFmt numFmtId="165" formatCode="_-£* #,##0_-;_-£* (#,##0);_-£* &quot;-&quot;_-;_-@_-"/>
    <numFmt numFmtId="166" formatCode="0.0000"/>
    <numFmt numFmtId="167" formatCode="#,##0;(#,##0);-"/>
    <numFmt numFmtId="168" formatCode="_-A$* #,##0_-;_-A$* (#,##0);_-A$* &quot;-&quot;_-;_-@_-"/>
    <numFmt numFmtId="169" formatCode="_-US$* #,##0_-;_-US$* (#,##0);_-US$* &quot;-&quot;_-;_-@_-"/>
    <numFmt numFmtId="170" formatCode="yyyy-mm-dd"/>
  </numFmts>
  <fonts count="13">
    <font>
      <name val="Calibri"/>
      <family val="2"/>
      <color theme="1"/>
      <sz val="11"/>
      <scheme val="minor"/>
    </font>
    <font>
      <name val="Arial"/>
      <b val="1"/>
      <color rgb="FF1F3A5F"/>
      <sz val="16"/>
    </font>
    <font>
      <name val="Arial"/>
      <i val="1"/>
      <color rgb="FF595959"/>
      <sz val="10"/>
    </font>
    <font>
      <name val="Arial"/>
      <b val="1"/>
      <sz val="10"/>
    </font>
    <font>
      <name val="Arial"/>
      <sz val="10"/>
    </font>
    <font>
      <name val="Arial"/>
      <b val="1"/>
      <color rgb="FF1F3A5F"/>
      <sz val="11"/>
    </font>
    <font>
      <name val="Arial"/>
      <color rgb="FF0000FF"/>
      <sz val="10"/>
    </font>
    <font>
      <name val="Arial"/>
      <b val="1"/>
      <color rgb="FFFFFFFF"/>
      <sz val="10"/>
    </font>
    <font>
      <name val="Arial"/>
      <color rgb="FF000000"/>
      <sz val="10"/>
    </font>
    <font>
      <name val="Arial"/>
      <color rgb="FF008000"/>
      <sz val="10"/>
    </font>
    <font>
      <name val="Arial"/>
      <b val="1"/>
      <sz val="11"/>
    </font>
    <font>
      <name val="Arial"/>
      <i val="1"/>
      <sz val="10"/>
    </font>
    <font>
      <name val="Arial"/>
      <b val="1"/>
      <sz val="12"/>
    </font>
  </fonts>
  <fills count="7">
    <fill>
      <patternFill/>
    </fill>
    <fill>
      <patternFill patternType="gray125"/>
    </fill>
    <fill>
      <patternFill patternType="solid">
        <fgColor rgb="FFE8EEF5"/>
      </patternFill>
    </fill>
    <fill>
      <patternFill patternType="solid">
        <fgColor rgb="FFFFF2CC"/>
      </patternFill>
    </fill>
    <fill>
      <patternFill patternType="solid">
        <fgColor rgb="FF1F3A5F"/>
      </patternFill>
    </fill>
    <fill>
      <patternFill patternType="solid">
        <fgColor rgb="FFF8F9FB"/>
      </patternFill>
    </fill>
    <fill>
      <patternFill patternType="solid">
        <fgColor rgb="FFD6E4FF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164" fontId="6" fillId="3" borderId="0" pivotButton="0" quotePrefix="0" xfId="0"/>
    <xf numFmtId="165" fontId="6" fillId="3" borderId="0" pivotButton="0" quotePrefix="0" xfId="0"/>
    <xf numFmtId="166" fontId="6" fillId="3" borderId="0" pivotButton="0" quotePrefix="0" xfId="0"/>
    <xf numFmtId="0" fontId="7" fillId="4" borderId="0" pivotButton="0" quotePrefix="0" xfId="0"/>
    <xf numFmtId="0" fontId="7" fillId="4" borderId="0" applyAlignment="1" pivotButton="0" quotePrefix="0" xfId="0">
      <alignment horizontal="center"/>
    </xf>
    <xf numFmtId="164" fontId="6" fillId="0" borderId="0" pivotButton="0" quotePrefix="0" xfId="0"/>
    <xf numFmtId="164" fontId="8" fillId="0" borderId="0" pivotButton="0" quotePrefix="0" xfId="0"/>
    <xf numFmtId="0" fontId="7" fillId="4" borderId="1" applyAlignment="1" pivotButton="0" quotePrefix="0" xfId="0">
      <alignment horizontal="left" vertical="center" wrapText="1"/>
    </xf>
    <xf numFmtId="0" fontId="6" fillId="0" borderId="1" pivotButton="0" quotePrefix="0" xfId="0"/>
    <xf numFmtId="166" fontId="6" fillId="0" borderId="1" pivotButton="0" quotePrefix="0" xfId="0"/>
    <xf numFmtId="167" fontId="6" fillId="0" borderId="1" pivotButton="0" quotePrefix="0" xfId="0"/>
    <xf numFmtId="164" fontId="6" fillId="0" borderId="1" pivotButton="0" quotePrefix="0" xfId="0"/>
    <xf numFmtId="2" fontId="6" fillId="0" borderId="1" pivotButton="0" quotePrefix="0" xfId="0"/>
    <xf numFmtId="165" fontId="6" fillId="0" borderId="1" pivotButton="0" quotePrefix="0" xfId="0"/>
    <xf numFmtId="167" fontId="8" fillId="0" borderId="1" pivotButton="0" quotePrefix="0" xfId="0"/>
    <xf numFmtId="165" fontId="8" fillId="0" borderId="1" pivotButton="0" quotePrefix="0" xfId="0"/>
    <xf numFmtId="168" fontId="8" fillId="0" borderId="1" pivotButton="0" quotePrefix="0" xfId="0"/>
    <xf numFmtId="2" fontId="8" fillId="0" borderId="1" pivotButton="0" quotePrefix="0" xfId="0"/>
    <xf numFmtId="169" fontId="6" fillId="0" borderId="1" pivotButton="0" quotePrefix="0" xfId="0"/>
    <xf numFmtId="165" fontId="9" fillId="0" borderId="1" pivotButton="0" quotePrefix="0" xfId="0"/>
    <xf numFmtId="168" fontId="9" fillId="0" borderId="1" pivotButton="0" quotePrefix="0" xfId="0"/>
    <xf numFmtId="164" fontId="9" fillId="0" borderId="1" pivotButton="0" quotePrefix="0" xfId="0"/>
    <xf numFmtId="0" fontId="9" fillId="0" borderId="1" pivotButton="0" quotePrefix="0" xfId="0"/>
    <xf numFmtId="0" fontId="8" fillId="0" borderId="1" pivotButton="0" quotePrefix="0" xfId="0"/>
    <xf numFmtId="0" fontId="9" fillId="0" borderId="0" pivotButton="0" quotePrefix="0" xfId="0"/>
    <xf numFmtId="164" fontId="9" fillId="0" borderId="0" pivotButton="0" quotePrefix="0" xfId="0"/>
    <xf numFmtId="165" fontId="8" fillId="0" borderId="0" pivotButton="0" quotePrefix="0" xfId="0"/>
    <xf numFmtId="168" fontId="9" fillId="0" borderId="0" pivotButton="0" quotePrefix="0" xfId="0"/>
    <xf numFmtId="168" fontId="8" fillId="0" borderId="0" pivotButton="0" quotePrefix="0" xfId="0"/>
    <xf numFmtId="165" fontId="3" fillId="2" borderId="0" pivotButton="0" quotePrefix="0" xfId="0"/>
    <xf numFmtId="168" fontId="3" fillId="2" borderId="0" pivotButton="0" quotePrefix="0" xfId="0"/>
    <xf numFmtId="167" fontId="9" fillId="0" borderId="0" pivotButton="0" quotePrefix="0" xfId="0"/>
    <xf numFmtId="0" fontId="3" fillId="2" borderId="0" pivotButton="0" quotePrefix="0" xfId="0"/>
    <xf numFmtId="167" fontId="3" fillId="2" borderId="0" pivotButton="0" quotePrefix="0" xfId="0"/>
    <xf numFmtId="0" fontId="10" fillId="0" borderId="0" pivotButton="0" quotePrefix="0" xfId="0"/>
    <xf numFmtId="0" fontId="6" fillId="3" borderId="0" pivotButton="0" quotePrefix="0" xfId="0"/>
    <xf numFmtId="167" fontId="9" fillId="0" borderId="1" applyAlignment="1" pivotButton="0" quotePrefix="0" xfId="0">
      <alignment horizontal="right"/>
    </xf>
    <xf numFmtId="0" fontId="3" fillId="5" borderId="0" pivotButton="0" quotePrefix="0" xfId="0"/>
    <xf numFmtId="164" fontId="9" fillId="0" borderId="1" applyAlignment="1" pivotButton="0" quotePrefix="0" xfId="0">
      <alignment horizontal="right"/>
    </xf>
    <xf numFmtId="165" fontId="9" fillId="0" borderId="1" applyAlignment="1" pivotButton="0" quotePrefix="0" xfId="0">
      <alignment horizontal="right"/>
    </xf>
    <xf numFmtId="2" fontId="9" fillId="0" borderId="1" applyAlignment="1" pivotButton="0" quotePrefix="0" xfId="0">
      <alignment horizontal="right"/>
    </xf>
    <xf numFmtId="165" fontId="9" fillId="0" borderId="0" pivotButton="0" quotePrefix="0" xfId="0"/>
    <xf numFmtId="170" fontId="9" fillId="0" borderId="0" pivotButton="0" quotePrefix="0" xfId="0"/>
    <xf numFmtId="0" fontId="6" fillId="0" borderId="0" pivotButton="0" quotePrefix="0" xfId="0"/>
    <xf numFmtId="0" fontId="5" fillId="2" borderId="0" pivotButton="0" quotePrefix="0" xfId="0"/>
    <xf numFmtId="168" fontId="6" fillId="3" borderId="0" pivotButton="0" quotePrefix="0" xfId="0"/>
    <xf numFmtId="168" fontId="3" fillId="0" borderId="0" pivotButton="0" quotePrefix="0" xfId="0"/>
    <xf numFmtId="164" fontId="11" fillId="0" borderId="0" pivotButton="0" quotePrefix="0" xfId="0"/>
    <xf numFmtId="0" fontId="10" fillId="6" borderId="0" pivotButton="0" quotePrefix="0" xfId="0"/>
    <xf numFmtId="168" fontId="10" fillId="6" borderId="0" pivotButton="0" quotePrefix="0" xfId="0"/>
    <xf numFmtId="0" fontId="11" fillId="0" borderId="0" pivotButton="0" quotePrefix="0" xfId="0"/>
    <xf numFmtId="0" fontId="12" fillId="2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45"/>
  <sheetViews>
    <sheetView workbookViewId="0">
      <selection activeCell="A1" sqref="A1"/>
    </sheetView>
  </sheetViews>
  <sheetFormatPr baseColWidth="8" defaultRowHeight="15"/>
  <cols>
    <col width="28" customWidth="1" min="1" max="1"/>
    <col width="110" customWidth="1" min="2" max="2"/>
  </cols>
  <sheetData>
    <row r="1">
      <c r="A1" s="1" t="inlineStr">
        <is>
          <t>TA Commercial Forecast Workbook</t>
        </is>
      </c>
    </row>
    <row r="2">
      <c r="A2" s="2" t="inlineStr">
        <is>
          <t>Calculator + pipeline forecast + contract schedule. HubSpot is master for deal records.</t>
        </is>
      </c>
    </row>
    <row r="3">
      <c r="A3" s="2" t="inlineStr">
        <is>
          <t>v1 — 2026-04-29</t>
        </is>
      </c>
    </row>
    <row r="5">
      <c r="A5" s="3" t="inlineStr"/>
      <c r="B5" s="4" t="inlineStr"/>
    </row>
    <row r="6">
      <c r="A6" s="3" t="inlineStr">
        <is>
          <t>PRIMARY CURRENCY</t>
        </is>
      </c>
      <c r="B6" s="4" t="inlineStr">
        <is>
          <t>AUD. Calculation currency = GBP (deal denomination). FX in Parameters tab.</t>
        </is>
      </c>
    </row>
    <row r="7">
      <c r="A7" s="3" t="inlineStr"/>
      <c r="B7" s="4" t="inlineStr"/>
    </row>
    <row r="8">
      <c r="A8" s="3" t="inlineStr">
        <is>
          <t>HOW IT FITS TOGETHER</t>
        </is>
      </c>
      <c r="B8" s="4" t="inlineStr"/>
    </row>
    <row r="9">
      <c r="A9" s="3" t="inlineStr">
        <is>
          <t>Calculator</t>
        </is>
      </c>
      <c r="B9" s="4" t="inlineStr">
        <is>
          <t>One row per client+scenario. Inputs (members, conversion, fees, exclusivity Y1/Y2/Y3) drive outputs (TA revenue, client net) in GBP and AUD. Edit blue cells.</t>
        </is>
      </c>
    </row>
    <row r="10">
      <c r="A10" s="3" t="inlineStr">
        <is>
          <t>Deals</t>
        </is>
      </c>
      <c r="B10" s="4" t="inlineStr">
        <is>
          <t>One row per HubSpot deal. Pick the scenario, set probability and target close. Pulls deal value from Calculator. HubSpot dealamount = Y1 platform fee.</t>
        </is>
      </c>
    </row>
    <row r="11">
      <c r="A11" s="3" t="inlineStr">
        <is>
          <t>Contract_Schedule</t>
        </is>
      </c>
      <c r="B11" s="4" t="inlineStr">
        <is>
          <t>Per deal, breaks out the contract into line items: platform fee Y1/Y2/Y3 quarterly in advance; exclusivity recurring annually upfront; commissions per booking paid 3 months after travel.</t>
        </is>
      </c>
    </row>
    <row r="12">
      <c r="A12" s="3" t="inlineStr">
        <is>
          <t>Forecast_Monthly_Y1</t>
        </is>
      </c>
      <c r="B12" s="4" t="inlineStr">
        <is>
          <t>Probability-weighted cash by month for Y1. 6-month commission lag means only 50% of Y1 commission cash lands in Y1 (M7-M12).</t>
        </is>
      </c>
    </row>
    <row r="13">
      <c r="A13" s="3" t="inlineStr">
        <is>
          <t>Forecast_Quarterly_Y2Y3</t>
        </is>
      </c>
      <c r="B13" s="4" t="inlineStr">
        <is>
          <t>Quarterly forecast Y2 and Y3. Y2Q1 includes deferred Y1 commissions + new Y2 exclusivity. Y3Q1 includes deferred Y2 commissions + new Y3 exclusivity.</t>
        </is>
      </c>
    </row>
    <row r="14">
      <c r="A14" s="3" t="inlineStr">
        <is>
          <t>Pipeline_Summary</t>
        </is>
      </c>
      <c r="B14" s="4" t="inlineStr">
        <is>
          <t>Board-grade roll-up. AUD primary. By-stage and by-year forecast totals.</t>
        </is>
      </c>
    </row>
    <row r="15">
      <c r="A15" s="3" t="inlineStr">
        <is>
          <t>Client_View</t>
        </is>
      </c>
      <c r="B15" s="4" t="inlineStr">
        <is>
          <t>Per-client export. Set client slug in B3 to filter.</t>
        </is>
      </c>
    </row>
    <row r="16">
      <c r="A16" s="3" t="inlineStr">
        <is>
          <t>HubSpot_Sync</t>
        </is>
      </c>
      <c r="B16" s="4" t="inlineStr">
        <is>
          <t>Field mapping for HubSpot push: dealamount = Y1 platform fee (GBP). 3yr contract value, exclusivity by year, etc. as custom properties.</t>
        </is>
      </c>
    </row>
    <row r="17">
      <c r="A17" s="3" t="inlineStr"/>
      <c r="B17" s="4" t="inlineStr"/>
    </row>
    <row r="18">
      <c r="A18" s="3" t="inlineStr">
        <is>
          <t>DEAL STRUCTURE (Rapha as built)</t>
        </is>
      </c>
      <c r="B18" s="4" t="inlineStr"/>
    </row>
    <row r="19">
      <c r="A19" s="3" t="inlineStr">
        <is>
          <t>Y1 platform fee</t>
        </is>
      </c>
      <c r="B19" s="4" t="inlineStr">
        <is>
          <t>£108k, billed 4 × £27k quarterly in advance. This is the HubSpot dealamount.</t>
        </is>
      </c>
    </row>
    <row r="20">
      <c r="A20" s="3" t="inlineStr">
        <is>
          <t>Y2 platform fee</t>
        </is>
      </c>
      <c r="B20" s="4" t="inlineStr">
        <is>
          <t>Scales with members at £6/member/year. Quarterly in advance.</t>
        </is>
      </c>
    </row>
    <row r="21">
      <c r="A21" s="3" t="inlineStr">
        <is>
          <t>Y3 platform fee</t>
        </is>
      </c>
      <c r="B21" s="4" t="inlineStr">
        <is>
          <t>Scales with members at £6/member/year. Quarterly in advance.</t>
        </is>
      </c>
    </row>
    <row r="22">
      <c r="A22" s="3" t="inlineStr">
        <is>
          <t>Exclusivity</t>
        </is>
      </c>
      <c r="B22" s="4" t="inlineStr">
        <is>
          <t>£150k gross paid upfront at start of each year. Y1 may have rebate to client. Y2/Y3 typically full £150k to TA.</t>
        </is>
      </c>
    </row>
    <row r="23">
      <c r="A23" s="3" t="inlineStr">
        <is>
          <t>Commissions</t>
        </is>
      </c>
      <c r="B23" s="4" t="inlineStr">
        <is>
          <t>Category + insurance, 50/50 split between TA and client. Cash arrives 3 months after travel = approx 6 months after booking.</t>
        </is>
      </c>
    </row>
    <row r="24">
      <c r="A24" s="3" t="inlineStr"/>
      <c r="B24" s="4" t="inlineStr"/>
    </row>
    <row r="25">
      <c r="A25" s="3" t="inlineStr">
        <is>
          <t>WORKFLOW</t>
        </is>
      </c>
      <c r="B25" s="4" t="inlineStr"/>
    </row>
    <row r="26">
      <c r="A26" s="3" t="inlineStr">
        <is>
          <t>1.</t>
        </is>
      </c>
      <c r="B26" s="4" t="inlineStr">
        <is>
          <t>New deal opens in HubSpot. Note the deal_id.</t>
        </is>
      </c>
    </row>
    <row r="27">
      <c r="A27" s="3" t="inlineStr">
        <is>
          <t>2.</t>
        </is>
      </c>
      <c r="B27" s="4" t="inlineStr">
        <is>
          <t>Calculator: add or edit a row for that client + each scenario you want to model.</t>
        </is>
      </c>
    </row>
    <row r="28">
      <c r="A28" s="3" t="inlineStr">
        <is>
          <t>3.</t>
        </is>
      </c>
      <c r="B28" s="4" t="inlineStr">
        <is>
          <t>Deals: add a row, paste the deal_id, pick scenario + probability + target close month.</t>
        </is>
      </c>
    </row>
    <row r="29">
      <c r="A29" s="3" t="inlineStr">
        <is>
          <t>4.</t>
        </is>
      </c>
      <c r="B29" s="4" t="inlineStr">
        <is>
          <t>Contract_Schedule shows the line items and billing cadence to put into the actual contract.</t>
        </is>
      </c>
    </row>
    <row r="30">
      <c r="A30" s="3" t="inlineStr">
        <is>
          <t>5.</t>
        </is>
      </c>
      <c r="B30" s="4" t="inlineStr">
        <is>
          <t>Forecast tabs aggregate the deal across the right time periods, weighted by probability.</t>
        </is>
      </c>
    </row>
    <row r="31">
      <c r="A31" s="3" t="inlineStr">
        <is>
          <t>6.</t>
        </is>
      </c>
      <c r="B31" s="4" t="inlineStr">
        <is>
          <t>HubSpot_Sync shows the values to push back to HubSpot. Set dealamount = Y1 platform fee.</t>
        </is>
      </c>
    </row>
    <row r="32">
      <c r="A32" s="3" t="inlineStr"/>
      <c r="B32" s="4" t="inlineStr"/>
    </row>
    <row r="33">
      <c r="A33" s="3" t="inlineStr">
        <is>
          <t>COLOUR KEY</t>
        </is>
      </c>
      <c r="B33" s="4" t="inlineStr"/>
    </row>
    <row r="34">
      <c r="A34" s="3" t="inlineStr">
        <is>
          <t>Blue text</t>
        </is>
      </c>
      <c r="B34" s="4" t="inlineStr">
        <is>
          <t>Editable input. Change for scenarios.</t>
        </is>
      </c>
    </row>
    <row r="35">
      <c r="A35" s="3" t="inlineStr">
        <is>
          <t>Black text</t>
        </is>
      </c>
      <c r="B35" s="4" t="inlineStr">
        <is>
          <t>Formula. Auto-calculated.</t>
        </is>
      </c>
    </row>
    <row r="36">
      <c r="A36" s="3" t="inlineStr">
        <is>
          <t>Green text</t>
        </is>
      </c>
      <c r="B36" s="4" t="inlineStr">
        <is>
          <t>Cross-sheet link or HubSpot-derived.</t>
        </is>
      </c>
    </row>
    <row r="37">
      <c r="A37" s="3" t="inlineStr">
        <is>
          <t>Yellow fill</t>
        </is>
      </c>
      <c r="B37" s="4" t="inlineStr">
        <is>
          <t>Key assumption. Validate before sending external.</t>
        </is>
      </c>
    </row>
    <row r="38">
      <c r="A38" s="3" t="inlineStr"/>
      <c r="B38" s="4" t="inlineStr"/>
    </row>
    <row r="39">
      <c r="A39" s="3" t="inlineStr">
        <is>
          <t>PROBABILITY MAP (default, edit on Parameters)</t>
        </is>
      </c>
      <c r="B39" s="4" t="inlineStr"/>
    </row>
    <row r="40">
      <c r="A40" s="3" t="inlineStr">
        <is>
          <t>Discovery</t>
        </is>
      </c>
      <c r="B40" s="4" t="inlineStr">
        <is>
          <t>20%</t>
        </is>
      </c>
    </row>
    <row r="41">
      <c r="A41" s="3" t="inlineStr">
        <is>
          <t>Proposal</t>
        </is>
      </c>
      <c r="B41" s="4" t="inlineStr">
        <is>
          <t>40%</t>
        </is>
      </c>
    </row>
    <row r="42">
      <c r="A42" s="3" t="inlineStr">
        <is>
          <t>Negotiation</t>
        </is>
      </c>
      <c r="B42" s="4" t="inlineStr">
        <is>
          <t>60%</t>
        </is>
      </c>
    </row>
    <row r="43">
      <c r="A43" s="3" t="inlineStr">
        <is>
          <t>Verbal commit</t>
        </is>
      </c>
      <c r="B43" s="4" t="inlineStr">
        <is>
          <t>80%</t>
        </is>
      </c>
    </row>
    <row r="44">
      <c r="A44" s="3" t="inlineStr">
        <is>
          <t>Closed Won</t>
        </is>
      </c>
      <c r="B44" s="4" t="inlineStr">
        <is>
          <t>100%</t>
        </is>
      </c>
    </row>
    <row r="45">
      <c r="A45" s="3" t="inlineStr">
        <is>
          <t>Closed Lost</t>
        </is>
      </c>
      <c r="B45" s="4" t="inlineStr">
        <is>
          <t>0%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R24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9" customWidth="1" min="1" max="1"/>
    <col width="15" customWidth="1" min="2" max="2"/>
    <col width="17" customWidth="1" min="3" max="3"/>
    <col width="15" customWidth="1" min="4" max="4"/>
    <col width="27" customWidth="1" min="5" max="5"/>
    <col width="34" customWidth="1" min="6" max="6"/>
    <col width="34" customWidth="1" min="7" max="7"/>
    <col width="29" customWidth="1" min="8" max="8"/>
    <col width="29" customWidth="1" min="9" max="9"/>
    <col width="28" customWidth="1" min="10" max="10"/>
    <col width="22" customWidth="1" min="11" max="11"/>
    <col width="22" customWidth="1" min="12" max="12"/>
    <col width="22" customWidth="1" min="13" max="13"/>
    <col width="26" customWidth="1" min="14" max="14"/>
    <col width="26" customWidth="1" min="15" max="15"/>
    <col width="26" customWidth="1" min="16" max="16"/>
    <col width="24" customWidth="1" min="17" max="17"/>
    <col width="15" customWidth="1" min="18" max="18"/>
  </cols>
  <sheetData>
    <row r="1">
      <c r="A1" s="1" t="inlineStr">
        <is>
          <t>HubSpot sync — values to write back</t>
        </is>
      </c>
    </row>
    <row r="2">
      <c r="A2" s="5" t="inlineStr">
        <is>
          <t>HubSpot custom property mapping</t>
        </is>
      </c>
    </row>
    <row r="3">
      <c r="A3" s="13" t="inlineStr">
        <is>
          <t>hubspot_deal_id</t>
        </is>
      </c>
      <c r="B3" s="13" t="inlineStr">
        <is>
          <t>deal_name</t>
        </is>
      </c>
      <c r="C3" s="13" t="inlineStr">
        <is>
          <t>stage_current</t>
        </is>
      </c>
      <c r="D3" s="13" t="inlineStr">
        <is>
          <t>scenario</t>
        </is>
      </c>
      <c r="E3" s="13" t="inlineStr">
        <is>
          <t>applied_probability_pct</t>
        </is>
      </c>
      <c r="F3" s="13" t="inlineStr">
        <is>
          <t>dealamount_yr1_platform_fee_gbp</t>
        </is>
      </c>
      <c r="G3" s="13" t="inlineStr">
        <is>
          <t>dealamount_yr1_platform_fee_aud</t>
        </is>
      </c>
      <c r="H3" s="13" t="inlineStr">
        <is>
          <t>ta_contract_value_3yr_gbp</t>
        </is>
      </c>
      <c r="I3" s="13" t="inlineStr">
        <is>
          <t>ta_contract_value_3yr_aud</t>
        </is>
      </c>
      <c r="J3" s="13" t="inlineStr">
        <is>
          <t>ta_weighted_pipeline_aud</t>
        </is>
      </c>
      <c r="K3" s="13" t="inlineStr">
        <is>
          <t>ta_revenue_yr1_gbp</t>
        </is>
      </c>
      <c r="L3" s="13" t="inlineStr">
        <is>
          <t>ta_revenue_yr2_gbp</t>
        </is>
      </c>
      <c r="M3" s="13" t="inlineStr">
        <is>
          <t>ta_revenue_yr3_gbp</t>
        </is>
      </c>
      <c r="N3" s="13" t="inlineStr">
        <is>
          <t>ta_exclusivity_yr1_gbp</t>
        </is>
      </c>
      <c r="O3" s="13" t="inlineStr">
        <is>
          <t>ta_exclusivity_yr2_gbp</t>
        </is>
      </c>
      <c r="P3" s="13" t="inlineStr">
        <is>
          <t>ta_exclusivity_yr3_gbp</t>
        </is>
      </c>
      <c r="Q3" s="13" t="inlineStr">
        <is>
          <t>ta_target_close_date</t>
        </is>
      </c>
      <c r="R3" s="13" t="inlineStr">
        <is>
          <t>push_status</t>
        </is>
      </c>
    </row>
    <row r="4">
      <c r="A4" s="30">
        <f>Deals!$A4</f>
        <v/>
      </c>
      <c r="B4" s="30">
        <f>Deals!$B4</f>
        <v/>
      </c>
      <c r="C4" s="30">
        <f>Deals!$E4</f>
        <v/>
      </c>
      <c r="D4" s="30">
        <f>Deals!$I4</f>
        <v/>
      </c>
      <c r="E4" s="31">
        <f>Deals!$AI4</f>
        <v/>
      </c>
      <c r="F4" s="47">
        <f>Deals!$AF4</f>
        <v/>
      </c>
      <c r="G4" s="33">
        <f>Deals!$AG4</f>
        <v/>
      </c>
      <c r="H4" s="47">
        <f>Deals!$AJ4</f>
        <v/>
      </c>
      <c r="I4" s="33">
        <f>Deals!$AK4</f>
        <v/>
      </c>
      <c r="J4" s="33">
        <f>Deals!$AM4</f>
        <v/>
      </c>
      <c r="K4" s="47">
        <f>Deals!$Q4</f>
        <v/>
      </c>
      <c r="L4" s="47">
        <f>Deals!$AB4+Deals!$AD4+Deals!$V4</f>
        <v/>
      </c>
      <c r="M4" s="47">
        <f>Deals!$AC4+Deals!$AE4+Deals!$W4</f>
        <v/>
      </c>
      <c r="N4" s="47">
        <f>Deals!$U4</f>
        <v/>
      </c>
      <c r="O4" s="47">
        <f>Deals!$V4</f>
        <v/>
      </c>
      <c r="P4" s="47">
        <f>Deals!$W4</f>
        <v/>
      </c>
      <c r="Q4" s="48">
        <f>DATE(Deals!$L4,Deals!$K4,1)</f>
        <v/>
      </c>
      <c r="R4" s="49" t="inlineStr">
        <is>
          <t>manual</t>
        </is>
      </c>
    </row>
    <row r="5">
      <c r="A5" s="30">
        <f>Deals!$A5</f>
        <v/>
      </c>
      <c r="B5" s="30">
        <f>Deals!$B5</f>
        <v/>
      </c>
      <c r="C5" s="30">
        <f>Deals!$E5</f>
        <v/>
      </c>
      <c r="D5" s="30">
        <f>Deals!$I5</f>
        <v/>
      </c>
      <c r="E5" s="31">
        <f>Deals!$AI5</f>
        <v/>
      </c>
      <c r="F5" s="47">
        <f>Deals!$AF5</f>
        <v/>
      </c>
      <c r="G5" s="33">
        <f>Deals!$AG5</f>
        <v/>
      </c>
      <c r="H5" s="47">
        <f>Deals!$AJ5</f>
        <v/>
      </c>
      <c r="I5" s="33">
        <f>Deals!$AK5</f>
        <v/>
      </c>
      <c r="J5" s="33">
        <f>Deals!$AM5</f>
        <v/>
      </c>
      <c r="K5" s="47">
        <f>Deals!$Q5</f>
        <v/>
      </c>
      <c r="L5" s="47">
        <f>Deals!$AB5+Deals!$AD5+Deals!$V5</f>
        <v/>
      </c>
      <c r="M5" s="47">
        <f>Deals!$AC5+Deals!$AE5+Deals!$W5</f>
        <v/>
      </c>
      <c r="N5" s="47">
        <f>Deals!$U5</f>
        <v/>
      </c>
      <c r="O5" s="47">
        <f>Deals!$V5</f>
        <v/>
      </c>
      <c r="P5" s="47">
        <f>Deals!$W5</f>
        <v/>
      </c>
      <c r="Q5" s="48">
        <f>DATE(Deals!$L5,Deals!$K5,1)</f>
        <v/>
      </c>
      <c r="R5" s="49" t="inlineStr">
        <is>
          <t>manual</t>
        </is>
      </c>
    </row>
    <row r="6">
      <c r="A6" s="30">
        <f>Deals!$A6</f>
        <v/>
      </c>
      <c r="B6" s="30">
        <f>Deals!$B6</f>
        <v/>
      </c>
      <c r="C6" s="30">
        <f>Deals!$E6</f>
        <v/>
      </c>
      <c r="D6" s="30">
        <f>Deals!$I6</f>
        <v/>
      </c>
      <c r="E6" s="31">
        <f>Deals!$AI6</f>
        <v/>
      </c>
      <c r="F6" s="47">
        <f>Deals!$AF6</f>
        <v/>
      </c>
      <c r="G6" s="33">
        <f>Deals!$AG6</f>
        <v/>
      </c>
      <c r="H6" s="47">
        <f>Deals!$AJ6</f>
        <v/>
      </c>
      <c r="I6" s="33">
        <f>Deals!$AK6</f>
        <v/>
      </c>
      <c r="J6" s="33">
        <f>Deals!$AM6</f>
        <v/>
      </c>
      <c r="K6" s="47">
        <f>Deals!$Q6</f>
        <v/>
      </c>
      <c r="L6" s="47">
        <f>Deals!$AB6+Deals!$AD6+Deals!$V6</f>
        <v/>
      </c>
      <c r="M6" s="47">
        <f>Deals!$AC6+Deals!$AE6+Deals!$W6</f>
        <v/>
      </c>
      <c r="N6" s="47">
        <f>Deals!$U6</f>
        <v/>
      </c>
      <c r="O6" s="47">
        <f>Deals!$V6</f>
        <v/>
      </c>
      <c r="P6" s="47">
        <f>Deals!$W6</f>
        <v/>
      </c>
      <c r="Q6" s="48">
        <f>DATE(Deals!$L6,Deals!$K6,1)</f>
        <v/>
      </c>
      <c r="R6" s="49" t="inlineStr">
        <is>
          <t>manual</t>
        </is>
      </c>
    </row>
    <row r="7">
      <c r="A7" s="30">
        <f>Deals!$A7</f>
        <v/>
      </c>
      <c r="B7" s="30">
        <f>Deals!$B7</f>
        <v/>
      </c>
      <c r="C7" s="30">
        <f>Deals!$E7</f>
        <v/>
      </c>
      <c r="D7" s="30">
        <f>Deals!$I7</f>
        <v/>
      </c>
      <c r="E7" s="31">
        <f>Deals!$AI7</f>
        <v/>
      </c>
      <c r="F7" s="47">
        <f>Deals!$AF7</f>
        <v/>
      </c>
      <c r="G7" s="33">
        <f>Deals!$AG7</f>
        <v/>
      </c>
      <c r="H7" s="47">
        <f>Deals!$AJ7</f>
        <v/>
      </c>
      <c r="I7" s="33">
        <f>Deals!$AK7</f>
        <v/>
      </c>
      <c r="J7" s="33">
        <f>Deals!$AM7</f>
        <v/>
      </c>
      <c r="K7" s="47">
        <f>Deals!$Q7</f>
        <v/>
      </c>
      <c r="L7" s="47">
        <f>Deals!$AB7+Deals!$AD7+Deals!$V7</f>
        <v/>
      </c>
      <c r="M7" s="47">
        <f>Deals!$AC7+Deals!$AE7+Deals!$W7</f>
        <v/>
      </c>
      <c r="N7" s="47">
        <f>Deals!$U7</f>
        <v/>
      </c>
      <c r="O7" s="47">
        <f>Deals!$V7</f>
        <v/>
      </c>
      <c r="P7" s="47">
        <f>Deals!$W7</f>
        <v/>
      </c>
      <c r="Q7" s="48">
        <f>DATE(Deals!$L7,Deals!$K7,1)</f>
        <v/>
      </c>
      <c r="R7" s="49" t="inlineStr">
        <is>
          <t>manual</t>
        </is>
      </c>
    </row>
    <row r="8">
      <c r="A8" s="30">
        <f>Deals!$A8</f>
        <v/>
      </c>
      <c r="B8" s="30">
        <f>Deals!$B8</f>
        <v/>
      </c>
      <c r="C8" s="30">
        <f>Deals!$E8</f>
        <v/>
      </c>
      <c r="D8" s="30">
        <f>Deals!$I8</f>
        <v/>
      </c>
      <c r="E8" s="31">
        <f>Deals!$AI8</f>
        <v/>
      </c>
      <c r="F8" s="47">
        <f>Deals!$AF8</f>
        <v/>
      </c>
      <c r="G8" s="33">
        <f>Deals!$AG8</f>
        <v/>
      </c>
      <c r="H8" s="47">
        <f>Deals!$AJ8</f>
        <v/>
      </c>
      <c r="I8" s="33">
        <f>Deals!$AK8</f>
        <v/>
      </c>
      <c r="J8" s="33">
        <f>Deals!$AM8</f>
        <v/>
      </c>
      <c r="K8" s="47">
        <f>Deals!$Q8</f>
        <v/>
      </c>
      <c r="L8" s="47">
        <f>Deals!$AB8+Deals!$AD8+Deals!$V8</f>
        <v/>
      </c>
      <c r="M8" s="47">
        <f>Deals!$AC8+Deals!$AE8+Deals!$W8</f>
        <v/>
      </c>
      <c r="N8" s="47">
        <f>Deals!$U8</f>
        <v/>
      </c>
      <c r="O8" s="47">
        <f>Deals!$V8</f>
        <v/>
      </c>
      <c r="P8" s="47">
        <f>Deals!$W8</f>
        <v/>
      </c>
      <c r="Q8" s="48">
        <f>DATE(Deals!$L8,Deals!$K8,1)</f>
        <v/>
      </c>
      <c r="R8" s="49" t="inlineStr">
        <is>
          <t>manual</t>
        </is>
      </c>
    </row>
    <row r="9">
      <c r="A9" s="30">
        <f>Deals!$A9</f>
        <v/>
      </c>
      <c r="B9" s="30">
        <f>Deals!$B9</f>
        <v/>
      </c>
      <c r="C9" s="30">
        <f>Deals!$E9</f>
        <v/>
      </c>
      <c r="D9" s="30">
        <f>Deals!$I9</f>
        <v/>
      </c>
      <c r="E9" s="31">
        <f>Deals!$AI9</f>
        <v/>
      </c>
      <c r="F9" s="47">
        <f>Deals!$AF9</f>
        <v/>
      </c>
      <c r="G9" s="33">
        <f>Deals!$AG9</f>
        <v/>
      </c>
      <c r="H9" s="47">
        <f>Deals!$AJ9</f>
        <v/>
      </c>
      <c r="I9" s="33">
        <f>Deals!$AK9</f>
        <v/>
      </c>
      <c r="J9" s="33">
        <f>Deals!$AM9</f>
        <v/>
      </c>
      <c r="K9" s="47">
        <f>Deals!$Q9</f>
        <v/>
      </c>
      <c r="L9" s="47">
        <f>Deals!$AB9+Deals!$AD9+Deals!$V9</f>
        <v/>
      </c>
      <c r="M9" s="47">
        <f>Deals!$AC9+Deals!$AE9+Deals!$W9</f>
        <v/>
      </c>
      <c r="N9" s="47">
        <f>Deals!$U9</f>
        <v/>
      </c>
      <c r="O9" s="47">
        <f>Deals!$V9</f>
        <v/>
      </c>
      <c r="P9" s="47">
        <f>Deals!$W9</f>
        <v/>
      </c>
      <c r="Q9" s="48">
        <f>DATE(Deals!$L9,Deals!$K9,1)</f>
        <v/>
      </c>
      <c r="R9" s="49" t="inlineStr">
        <is>
          <t>manual</t>
        </is>
      </c>
    </row>
    <row r="13">
      <c r="A13" s="50" t="inlineStr">
        <is>
          <t>HubSpot property mapping (configure in HubSpot first)</t>
        </is>
      </c>
    </row>
    <row r="14">
      <c r="A14" s="9" t="inlineStr">
        <is>
          <t>Workbook column</t>
        </is>
      </c>
      <c r="B14" s="9" t="inlineStr">
        <is>
          <t>HubSpot property type</t>
        </is>
      </c>
      <c r="C14" s="9" t="inlineStr">
        <is>
          <t>Suggested HubSpot property name</t>
        </is>
      </c>
      <c r="D14" s="9" t="inlineStr">
        <is>
          <t>Notes</t>
        </is>
      </c>
    </row>
    <row r="15">
      <c r="A15" s="4" t="inlineStr">
        <is>
          <t>ta_property_contract_value_gbp</t>
        </is>
      </c>
      <c r="B15" s="4" t="inlineStr">
        <is>
          <t>Currency (GBP)</t>
        </is>
      </c>
      <c r="C15" s="4" t="inlineStr">
        <is>
          <t>ta_contract_value_gbp</t>
        </is>
      </c>
      <c r="D15" s="4" t="inlineStr">
        <is>
          <t>Full term contract value, GBP</t>
        </is>
      </c>
    </row>
    <row r="16">
      <c r="A16" s="4" t="inlineStr">
        <is>
          <t>ta_property_contract_value_usd</t>
        </is>
      </c>
      <c r="B16" s="4" t="inlineStr">
        <is>
          <t>Currency (USD)</t>
        </is>
      </c>
      <c r="C16" s="4" t="inlineStr">
        <is>
          <t>ta_contract_value_usd</t>
        </is>
      </c>
      <c r="D16" s="4" t="inlineStr">
        <is>
          <t>Full term contract value, USD (FX from Parameters)</t>
        </is>
      </c>
    </row>
    <row r="17">
      <c r="A17" s="4" t="inlineStr">
        <is>
          <t>ta_property_weighted_value_gbp</t>
        </is>
      </c>
      <c r="B17" s="4" t="inlineStr">
        <is>
          <t>Currency (GBP)</t>
        </is>
      </c>
      <c r="C17" s="4" t="inlineStr">
        <is>
          <t>ta_weighted_pipeline_gbp</t>
        </is>
      </c>
      <c r="D17" s="4" t="inlineStr">
        <is>
          <t>Probability-weighted pipeline value</t>
        </is>
      </c>
    </row>
    <row r="18">
      <c r="A18" s="4" t="inlineStr">
        <is>
          <t>ta_property_yr1_revenue_gbp</t>
        </is>
      </c>
      <c r="B18" s="4" t="inlineStr">
        <is>
          <t>Currency (GBP)</t>
        </is>
      </c>
      <c r="C18" s="4" t="inlineStr">
        <is>
          <t>ta_revenue_yr1_gbp</t>
        </is>
      </c>
      <c r="D18" s="4" t="inlineStr">
        <is>
          <t>Year 1 revenue</t>
        </is>
      </c>
    </row>
    <row r="19">
      <c r="A19" s="4" t="inlineStr">
        <is>
          <t>ta_property_yr2_revenue_gbp</t>
        </is>
      </c>
      <c r="B19" s="4" t="inlineStr">
        <is>
          <t>Currency (GBP)</t>
        </is>
      </c>
      <c r="C19" s="4" t="inlineStr">
        <is>
          <t>ta_revenue_yr2_gbp</t>
        </is>
      </c>
      <c r="D19" s="4" t="inlineStr">
        <is>
          <t>Year 2 revenue</t>
        </is>
      </c>
    </row>
    <row r="20">
      <c r="A20" s="4" t="inlineStr">
        <is>
          <t>ta_property_yr3_revenue_gbp</t>
        </is>
      </c>
      <c r="B20" s="4" t="inlineStr">
        <is>
          <t>Currency (GBP)</t>
        </is>
      </c>
      <c r="C20" s="4" t="inlineStr">
        <is>
          <t>ta_revenue_yr3_gbp</t>
        </is>
      </c>
      <c r="D20" s="4" t="inlineStr">
        <is>
          <t>Year 3 revenue</t>
        </is>
      </c>
    </row>
    <row r="21">
      <c r="A21" s="4" t="inlineStr">
        <is>
          <t>ta_property_exclusivity_gbp</t>
        </is>
      </c>
      <c r="B21" s="4" t="inlineStr">
        <is>
          <t>Currency (GBP)</t>
        </is>
      </c>
      <c r="C21" s="4" t="inlineStr">
        <is>
          <t>ta_exclusivity_net_gbp</t>
        </is>
      </c>
      <c r="D21" s="4" t="inlineStr">
        <is>
          <t>Exclusivity fee net to TA</t>
        </is>
      </c>
    </row>
    <row r="22">
      <c r="A22" s="4" t="inlineStr">
        <is>
          <t>ta_property_target_close_date</t>
        </is>
      </c>
      <c r="B22" s="4" t="inlineStr">
        <is>
          <t>Date</t>
        </is>
      </c>
      <c r="C22" s="4" t="inlineStr">
        <is>
          <t>closedate</t>
        </is>
      </c>
      <c r="D22" s="4" t="inlineStr">
        <is>
          <t>Standard HubSpot close date property</t>
        </is>
      </c>
    </row>
    <row r="23">
      <c r="A23" s="4" t="inlineStr">
        <is>
          <t>scenario</t>
        </is>
      </c>
      <c r="B23" s="4" t="inlineStr">
        <is>
          <t>Single-line text</t>
        </is>
      </c>
      <c r="C23" s="4" t="inlineStr">
        <is>
          <t>ta_scenario</t>
        </is>
      </c>
      <c r="D23" s="4" t="inlineStr">
        <is>
          <t>Modelled scenario (base/likely/high)</t>
        </is>
      </c>
    </row>
    <row r="24">
      <c r="A24" s="4" t="inlineStr">
        <is>
          <t>applied_probability_pct</t>
        </is>
      </c>
      <c r="B24" s="4" t="inlineStr">
        <is>
          <t>Number</t>
        </is>
      </c>
      <c r="C24" s="4" t="inlineStr">
        <is>
          <t>ta_applied_probability</t>
        </is>
      </c>
      <c r="D24" s="4" t="inlineStr">
        <is>
          <t>Override probability if used</t>
        </is>
      </c>
    </row>
  </sheetData>
  <mergeCells count="2">
    <mergeCell ref="A2:R2"/>
    <mergeCell ref="A13:D13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40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60" customWidth="1" min="7" max="7"/>
  </cols>
  <sheetData>
    <row r="1">
      <c r="A1" s="1" t="inlineStr">
        <is>
          <t>Forecast P&amp;L — Travel Activated (AUD, AU FY Jul-Jun)</t>
        </is>
      </c>
    </row>
    <row r="2">
      <c r="A2" s="2" t="inlineStr">
        <is>
          <t>3-year forecast (FY27-FY29). FY27 = Jul 26 - Jun 27. Revenue and OpEx editable in blue cells.</t>
        </is>
      </c>
    </row>
    <row r="3">
      <c r="A3" s="2" t="inlineStr">
        <is>
          <t>Default revenue view: pipeline-discounted (50%). Switch in B5. For per-month detail see Runway tab.</t>
        </is>
      </c>
    </row>
    <row r="5">
      <c r="A5" s="40" t="inlineStr">
        <is>
          <t>Revenue view:</t>
        </is>
      </c>
      <c r="B5" s="41" t="inlineStr">
        <is>
          <t>pipeline-discounted</t>
        </is>
      </c>
    </row>
    <row r="7">
      <c r="A7" s="13" t="inlineStr">
        <is>
          <t>Line item</t>
        </is>
      </c>
      <c r="B7" s="13" t="inlineStr">
        <is>
          <t>FY26 (Jul 25-Jun 26)</t>
        </is>
      </c>
      <c r="C7" s="13" t="inlineStr">
        <is>
          <t>FY27 (Jul 26-Jun 27)</t>
        </is>
      </c>
      <c r="D7" s="13" t="inlineStr">
        <is>
          <t>FY28 (Jul 27-Jun 28)</t>
        </is>
      </c>
      <c r="E7" s="13" t="inlineStr">
        <is>
          <t>FY29 (Jul 28-Jun 29)</t>
        </is>
      </c>
      <c r="F7" s="13" t="inlineStr">
        <is>
          <t>4 FY total</t>
        </is>
      </c>
      <c r="G7" s="13" t="inlineStr">
        <is>
          <t>Notes</t>
        </is>
      </c>
    </row>
    <row r="8">
      <c r="A8" s="5" t="inlineStr">
        <is>
          <t>REVENUE</t>
        </is>
      </c>
    </row>
    <row r="9">
      <c r="A9" s="4" t="inlineStr">
        <is>
          <t>TA platform revenue (deal-start-aware, FY)</t>
        </is>
      </c>
      <c r="B9" s="51" t="n">
        <v>0</v>
      </c>
      <c r="C9" s="33">
        <f>IF($B$5="unweighted",Pipeline_Summary!B17,IF($B$5="stage-weighted",Pipeline_Summary!C17,Pipeline_Summary!D17))</f>
        <v/>
      </c>
      <c r="D9" s="33">
        <f>IF($B$5="unweighted",Pipeline_Summary!B18,IF($B$5="stage-weighted",Pipeline_Summary!C18,Pipeline_Summary!D18))</f>
        <v/>
      </c>
      <c r="E9" s="33">
        <f>IF($B$5="unweighted",Pipeline_Summary!B19,IF($B$5="stage-weighted",Pipeline_Summary!C19,Pipeline_Summary!D19))</f>
        <v/>
      </c>
      <c r="F9" s="34">
        <f>SUM(B9:E9)</f>
        <v/>
      </c>
      <c r="G9" s="2" t="inlineStr">
        <is>
          <t>FY26: pre-revenue. FY27-29 follow the B5 revenue view (Pipeline_Summary).</t>
        </is>
      </c>
    </row>
    <row r="10">
      <c r="A10" s="4" t="inlineStr">
        <is>
          <t>Pipeline expansion uplift (untargeted federations)</t>
        </is>
      </c>
      <c r="B10" s="51" t="n">
        <v>0</v>
      </c>
      <c r="C10" s="51" t="n">
        <v>0</v>
      </c>
      <c r="D10" s="51" t="n">
        <v>150000</v>
      </c>
      <c r="E10" s="51" t="n">
        <v>900000</v>
      </c>
      <c r="F10" s="34">
        <f>SUM(B10:E10)</f>
        <v/>
      </c>
      <c r="G10" s="2" t="inlineStr">
        <is>
          <t>AusTech: 6 live by Jul 27 ($720K ARR), 12-15 by 28 ($2M ARR). FY26-27 zero, ramps FY28-29.</t>
        </is>
      </c>
    </row>
    <row r="11">
      <c r="A11" s="38" t="inlineStr">
        <is>
          <t>TOTAL REVENUE</t>
        </is>
      </c>
      <c r="B11" s="36">
        <f>B9+B10</f>
        <v/>
      </c>
      <c r="C11" s="36">
        <f>C9+C10</f>
        <v/>
      </c>
      <c r="D11" s="36">
        <f>D9+D10</f>
        <v/>
      </c>
      <c r="E11" s="36">
        <f>E9+E10</f>
        <v/>
      </c>
      <c r="F11" s="36">
        <f>SUM(B11:E11)</f>
        <v/>
      </c>
    </row>
    <row r="13">
      <c r="A13" s="5" t="inlineStr">
        <is>
          <t>COST OF REVENUE</t>
        </is>
      </c>
    </row>
    <row r="14">
      <c r="A14" s="4" t="inlineStr">
        <is>
          <t>Payment processing (2.0% of revenue)</t>
        </is>
      </c>
      <c r="B14" s="34">
        <f>B11*0.02</f>
        <v/>
      </c>
      <c r="C14" s="34">
        <f>C11*0.02</f>
        <v/>
      </c>
      <c r="D14" s="34">
        <f>D11*0.02</f>
        <v/>
      </c>
      <c r="E14" s="34">
        <f>E11*0.02</f>
        <v/>
      </c>
      <c r="F14" s="34">
        <f>SUM(B14:E14)</f>
        <v/>
      </c>
      <c r="G14" s="2" t="inlineStr">
        <is>
          <t>Stripe / processor fees</t>
        </is>
      </c>
    </row>
    <row r="15">
      <c r="A15" s="4" t="inlineStr">
        <is>
          <t>TRAVLR platform share (estimate)</t>
        </is>
      </c>
      <c r="B15" s="51" t="n">
        <v>0</v>
      </c>
      <c r="C15" s="51" t="n">
        <v>0</v>
      </c>
      <c r="D15" s="51" t="n">
        <v>0</v>
      </c>
      <c r="E15" s="51" t="n">
        <v>0</v>
      </c>
      <c r="F15" s="34">
        <f>SUM(B15:E15)</f>
        <v/>
      </c>
      <c r="G15" s="2" t="inlineStr">
        <is>
          <t>Per TRAVLR contract (Dec 2025) — refine when known</t>
        </is>
      </c>
    </row>
    <row r="16">
      <c r="A16" s="38" t="inlineStr">
        <is>
          <t>TOTAL COST OF REVENUE</t>
        </is>
      </c>
      <c r="B16" s="36">
        <f>SUM(B14:B15)</f>
        <v/>
      </c>
      <c r="C16" s="36">
        <f>SUM(C14:C15)</f>
        <v/>
      </c>
      <c r="D16" s="36">
        <f>SUM(D14:D15)</f>
        <v/>
      </c>
      <c r="E16" s="36">
        <f>SUM(E14:E15)</f>
        <v/>
      </c>
      <c r="F16" s="36">
        <f>SUM(B16:E16)</f>
        <v/>
      </c>
    </row>
    <row r="18">
      <c r="A18" s="3" t="inlineStr">
        <is>
          <t>GROSS PROFIT</t>
        </is>
      </c>
      <c r="B18" s="52">
        <f>B11-B16</f>
        <v/>
      </c>
      <c r="C18" s="52">
        <f>C11-C16</f>
        <v/>
      </c>
      <c r="D18" s="52">
        <f>D11-D16</f>
        <v/>
      </c>
      <c r="E18" s="52">
        <f>E11-E16</f>
        <v/>
      </c>
      <c r="F18" s="52">
        <f>SUM(B18:E18)</f>
        <v/>
      </c>
    </row>
    <row r="19">
      <c r="A19" s="2" t="inlineStr">
        <is>
          <t xml:space="preserve">  Gross margin</t>
        </is>
      </c>
      <c r="B19" s="53">
        <f>IFERROR(B18/B11,0)</f>
        <v/>
      </c>
      <c r="C19" s="53">
        <f>IFERROR(C18/C11,0)</f>
        <v/>
      </c>
      <c r="D19" s="53">
        <f>IFERROR(D18/D11,0)</f>
        <v/>
      </c>
      <c r="E19" s="53">
        <f>IFERROR(E18/E11,0)</f>
        <v/>
      </c>
      <c r="F19" s="53">
        <f>IFERROR(F18/F11,0)</f>
        <v/>
      </c>
    </row>
    <row r="21">
      <c r="A21" s="5" t="inlineStr">
        <is>
          <t>OPERATING EXPENSES (editable, AUD)</t>
        </is>
      </c>
    </row>
    <row r="22">
      <c r="A22" s="4" t="inlineStr">
        <is>
          <t>Founders &amp; team — salaries</t>
        </is>
      </c>
      <c r="B22" s="51" t="n">
        <v>0</v>
      </c>
      <c r="C22" s="51" t="n">
        <v>217000</v>
      </c>
      <c r="D22" s="51" t="n">
        <v>300000</v>
      </c>
      <c r="E22" s="51" t="n">
        <v>400000</v>
      </c>
      <c r="F22" s="34">
        <f>SUM(B22:E22)</f>
        <v/>
      </c>
      <c r="G22" s="2" t="inlineStr">
        <is>
          <t>FY26: founders unpaid (bootstrap). FY27: 10 mo paid post-seed. FY28-29: scaling team.</t>
        </is>
      </c>
    </row>
    <row r="23">
      <c r="A23" s="4" t="inlineStr">
        <is>
          <t>Founders &amp; team — super (11.5%)</t>
        </is>
      </c>
      <c r="B23" s="51" t="n">
        <v>0</v>
      </c>
      <c r="C23" s="51" t="n">
        <v>25000</v>
      </c>
      <c r="D23" s="51" t="n">
        <v>35000</v>
      </c>
      <c r="E23" s="51" t="n">
        <v>46000</v>
      </c>
      <c r="F23" s="34">
        <f>SUM(B23:E23)</f>
        <v/>
      </c>
      <c r="G23" s="2" t="inlineStr">
        <is>
          <t>Aus super</t>
        </is>
      </c>
    </row>
    <row r="24">
      <c r="A24" s="4" t="inlineStr">
        <is>
          <t>Sales &amp; marketing</t>
        </is>
      </c>
      <c r="B24" s="51" t="n">
        <v>5000</v>
      </c>
      <c r="C24" s="51" t="n">
        <v>60000</v>
      </c>
      <c r="D24" s="51" t="n">
        <v>100000</v>
      </c>
      <c r="E24" s="51" t="n">
        <v>150000</v>
      </c>
      <c r="F24" s="34">
        <f>SUM(B24:E24)</f>
        <v/>
      </c>
      <c r="G24" s="2" t="inlineStr">
        <is>
          <t>FY26 minimal (founder-led). Scales post-seed.</t>
        </is>
      </c>
    </row>
    <row r="25">
      <c r="A25" s="4" t="inlineStr">
        <is>
          <t>Tech &amp; infrastructure</t>
        </is>
      </c>
      <c r="B25" s="51" t="n">
        <v>10000</v>
      </c>
      <c r="C25" s="51" t="n">
        <v>30000</v>
      </c>
      <c r="D25" s="51" t="n">
        <v>45000</v>
      </c>
      <c r="E25" s="51" t="n">
        <v>60000</v>
      </c>
      <c r="F25" s="34">
        <f>SUM(B25:E25)</f>
        <v/>
      </c>
      <c r="G25" s="2" t="inlineStr">
        <is>
          <t>HubSpot, tooling, dev. FY26 = $40K invested per AusTech.</t>
        </is>
      </c>
    </row>
    <row r="26">
      <c r="A26" s="4" t="inlineStr">
        <is>
          <t>Legal &amp; admin</t>
        </is>
      </c>
      <c r="B26" s="51" t="n">
        <v>15000</v>
      </c>
      <c r="C26" s="51" t="n">
        <v>30000</v>
      </c>
      <c r="D26" s="51" t="n">
        <v>30000</v>
      </c>
      <c r="E26" s="51" t="n">
        <v>35000</v>
      </c>
      <c r="F26" s="34">
        <f>SUM(B26:E26)</f>
        <v/>
      </c>
      <c r="G26" s="2" t="inlineStr">
        <is>
          <t>Contract reviews, ASIC, accounting</t>
        </is>
      </c>
    </row>
    <row r="27">
      <c r="A27" s="4" t="inlineStr">
        <is>
          <t>Office &amp; operations</t>
        </is>
      </c>
      <c r="B27" s="51" t="n">
        <v>5000</v>
      </c>
      <c r="C27" s="51" t="n">
        <v>12000</v>
      </c>
      <c r="D27" s="51" t="n">
        <v>18000</v>
      </c>
      <c r="E27" s="51" t="n">
        <v>24000</v>
      </c>
      <c r="F27" s="34">
        <f>SUM(B27:E27)</f>
        <v/>
      </c>
      <c r="G27" s="2" t="inlineStr">
        <is>
          <t>Coworking, software, comms</t>
        </is>
      </c>
    </row>
    <row r="28">
      <c r="A28" s="4" t="inlineStr">
        <is>
          <t>Contingency (10% of OpEx)</t>
        </is>
      </c>
      <c r="B28" s="34">
        <f>SUM(B22:B27)*0.10</f>
        <v/>
      </c>
      <c r="C28" s="34">
        <f>SUM(C22:C27)*0.10</f>
        <v/>
      </c>
      <c r="D28" s="34">
        <f>SUM(D22:D27)*0.10</f>
        <v/>
      </c>
      <c r="E28" s="34">
        <f>SUM(E22:E27)*0.10</f>
        <v/>
      </c>
      <c r="F28" s="34">
        <f>SUM(B28:E28)</f>
        <v/>
      </c>
      <c r="G28" s="2" t="inlineStr">
        <is>
          <t>Buffer for unknowns</t>
        </is>
      </c>
    </row>
    <row r="29">
      <c r="A29" s="38" t="inlineStr">
        <is>
          <t>TOTAL OPERATING EXPENSES</t>
        </is>
      </c>
      <c r="B29" s="36">
        <f>SUM(B22:B28)</f>
        <v/>
      </c>
      <c r="C29" s="36">
        <f>SUM(C22:C28)</f>
        <v/>
      </c>
      <c r="D29" s="36">
        <f>SUM(D22:D28)</f>
        <v/>
      </c>
      <c r="E29" s="36">
        <f>SUM(E22:E28)</f>
        <v/>
      </c>
      <c r="F29" s="36">
        <f>SUM(B29:E29)</f>
        <v/>
      </c>
    </row>
    <row r="31">
      <c r="A31" s="54" t="inlineStr">
        <is>
          <t>OPERATING INCOME (LOSS)</t>
        </is>
      </c>
      <c r="B31" s="55">
        <f>B18-B29</f>
        <v/>
      </c>
      <c r="C31" s="55">
        <f>C18-C29</f>
        <v/>
      </c>
      <c r="D31" s="55">
        <f>D18-D29</f>
        <v/>
      </c>
      <c r="E31" s="55">
        <f>E18-E29</f>
        <v/>
      </c>
      <c r="F31" s="55">
        <f>SUM(B31:E31)</f>
        <v/>
      </c>
    </row>
    <row r="32">
      <c r="A32" s="2" t="inlineStr">
        <is>
          <t xml:space="preserve">  Operating margin</t>
        </is>
      </c>
      <c r="B32" s="53">
        <f>IFERROR(B31/B11,0)</f>
        <v/>
      </c>
      <c r="C32" s="53">
        <f>IFERROR(C31/C11,0)</f>
        <v/>
      </c>
      <c r="D32" s="53">
        <f>IFERROR(D31/D11,0)</f>
        <v/>
      </c>
      <c r="E32" s="53">
        <f>IFERROR(E31/E11,0)</f>
        <v/>
      </c>
      <c r="F32" s="53">
        <f>IFERROR(F31/F11,0)</f>
        <v/>
      </c>
    </row>
    <row r="34">
      <c r="A34" s="3" t="inlineStr">
        <is>
          <t>Cash impact (cumulative operating)</t>
        </is>
      </c>
      <c r="B34" s="34">
        <f>B31</f>
        <v/>
      </c>
      <c r="C34" s="34">
        <f>B34+C31</f>
        <v/>
      </c>
      <c r="D34" s="34">
        <f>C34+D31</f>
        <v/>
      </c>
      <c r="E34" s="34">
        <f>D34+E31</f>
        <v/>
      </c>
      <c r="F34" s="34">
        <f>E34</f>
        <v/>
      </c>
    </row>
    <row r="36">
      <c r="A36" s="5" t="inlineStr">
        <is>
          <t>VIEW COMPARISON — operating income across revenue scenarios (FY27-FY29)</t>
        </is>
      </c>
    </row>
    <row r="37">
      <c r="A37" s="13" t="inlineStr">
        <is>
          <t>View</t>
        </is>
      </c>
      <c r="B37" s="13" t="inlineStr">
        <is>
          <t>FY26 (act)</t>
        </is>
      </c>
      <c r="C37" s="13" t="inlineStr">
        <is>
          <t>FY27</t>
        </is>
      </c>
      <c r="D37" s="13" t="inlineStr">
        <is>
          <t>FY28</t>
        </is>
      </c>
      <c r="E37" s="13" t="inlineStr">
        <is>
          <t>FY29</t>
        </is>
      </c>
      <c r="F37" s="13" t="inlineStr">
        <is>
          <t>4 FY total</t>
        </is>
      </c>
    </row>
    <row r="38">
      <c r="A38" s="3" t="inlineStr">
        <is>
          <t>Unweighted (if all signed)</t>
        </is>
      </c>
      <c r="B38" s="33">
        <f>B31</f>
        <v/>
      </c>
      <c r="C38" s="34">
        <f>(Pipeline_Summary!B17+C10)*0.98-C29</f>
        <v/>
      </c>
      <c r="D38" s="34">
        <f>(Pipeline_Summary!B18+D10)*0.98-D29</f>
        <v/>
      </c>
      <c r="E38" s="34">
        <f>(Pipeline_Summary!B19+E10)*0.98-E29</f>
        <v/>
      </c>
      <c r="F38" s="52">
        <f>SUM(B38:E38)</f>
        <v/>
      </c>
    </row>
    <row r="39">
      <c r="A39" s="3" t="inlineStr">
        <is>
          <t>Stage-weighted (per HubSpot prob)</t>
        </is>
      </c>
      <c r="B39" s="33">
        <f>B31</f>
        <v/>
      </c>
      <c r="C39" s="34">
        <f>(Pipeline_Summary!C17+C10)*0.98-C29</f>
        <v/>
      </c>
      <c r="D39" s="34">
        <f>(Pipeline_Summary!C18+D10)*0.98-D29</f>
        <v/>
      </c>
      <c r="E39" s="34">
        <f>(Pipeline_Summary!C19+E10)*0.98-E29</f>
        <v/>
      </c>
      <c r="F39" s="52">
        <f>SUM(B39:E39)</f>
        <v/>
      </c>
    </row>
    <row r="40">
      <c r="A40" s="3" t="inlineStr">
        <is>
          <t>Pipeline-discounted (50%)</t>
        </is>
      </c>
      <c r="B40" s="33">
        <f>B31</f>
        <v/>
      </c>
      <c r="C40" s="34">
        <f>(Pipeline_Summary!D17+C10)*0.98-C29</f>
        <v/>
      </c>
      <c r="D40" s="34">
        <f>(Pipeline_Summary!D18+D10)*0.98-D29</f>
        <v/>
      </c>
      <c r="E40" s="34">
        <f>(Pipeline_Summary!D19+E10)*0.98-E29</f>
        <v/>
      </c>
      <c r="F40" s="52">
        <f>SUM(B40:E40)</f>
        <v/>
      </c>
    </row>
  </sheetData>
  <mergeCells count="4">
    <mergeCell ref="A21:G21"/>
    <mergeCell ref="A8:G8"/>
    <mergeCell ref="A13:G13"/>
    <mergeCell ref="A36:F36"/>
  </mergeCells>
  <dataValidations count="1">
    <dataValidation sqref="B5" showDropDown="0" showInputMessage="0" showErrorMessage="0" allowBlank="0" type="list">
      <formula1>"unweighted,stage-weighted,pipeline-discounted"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95"/>
  <sheetViews>
    <sheetView workbookViewId="0">
      <pane xSplit="2" ySplit="9" topLeftCell="C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4" customWidth="1" min="2" max="2"/>
    <col width="16" customWidth="1" min="3" max="3"/>
    <col width="16" customWidth="1" min="4" max="4"/>
    <col width="16" customWidth="1" min="5" max="5"/>
    <col width="18" customWidth="1" min="6" max="6"/>
    <col width="42" customWidth="1" min="7" max="7"/>
  </cols>
  <sheetData>
    <row r="1">
      <c r="A1" s="1" t="inlineStr">
        <is>
          <t>Runway — monthly cash forecast (AUD)</t>
        </is>
      </c>
    </row>
    <row r="2">
      <c r="A2" s="2" t="inlineStr">
        <is>
          <t>Starts with seed close. Annual revenue and OpEx divided into months. Adjust starting cash and view in B5/B6.</t>
        </is>
      </c>
    </row>
    <row r="4">
      <c r="A4" s="40" t="inlineStr">
        <is>
          <t>Starting cash (seed close):</t>
        </is>
      </c>
      <c r="B4" s="51" t="n">
        <v>600000</v>
      </c>
    </row>
    <row r="5">
      <c r="A5" s="40" t="inlineStr">
        <is>
          <t>Seed close month (1-36):</t>
        </is>
      </c>
      <c r="B5" s="41" t="n">
        <v>8</v>
      </c>
    </row>
    <row r="6">
      <c r="A6" s="40" t="inlineStr">
        <is>
          <t>Revenue view:</t>
        </is>
      </c>
      <c r="B6" s="41" t="inlineStr">
        <is>
          <t>pipeline-discounted</t>
        </is>
      </c>
    </row>
    <row r="7">
      <c r="A7" s="56" t="inlineStr">
        <is>
          <t>Notes:</t>
        </is>
      </c>
      <c r="B7" s="2" t="inlineStr">
        <is>
          <t>Founders unpaid until seed close (month B5). OpEx applies pre-seed at reduced level.</t>
        </is>
      </c>
    </row>
    <row r="9">
      <c r="A9" s="13" t="inlineStr">
        <is>
          <t>Month #</t>
        </is>
      </c>
      <c r="B9" s="13" t="inlineStr">
        <is>
          <t>Period</t>
        </is>
      </c>
      <c r="C9" s="13" t="inlineStr">
        <is>
          <t>Revenue (AUD)</t>
        </is>
      </c>
      <c r="D9" s="13" t="inlineStr">
        <is>
          <t>OpEx (AUD)</t>
        </is>
      </c>
      <c r="E9" s="13" t="inlineStr">
        <is>
          <t>Net cash flow</t>
        </is>
      </c>
      <c r="F9" s="13" t="inlineStr">
        <is>
          <t>Cash balance</t>
        </is>
      </c>
      <c r="G9" s="13" t="inlineStr">
        <is>
          <t>Comments</t>
        </is>
      </c>
    </row>
    <row r="10">
      <c r="A10" s="4" t="n">
        <v>1</v>
      </c>
      <c r="B10" s="4" t="inlineStr">
        <is>
          <t>2026-01</t>
        </is>
      </c>
      <c r="C10" s="33">
        <f>SUMPRODUCT(((1&gt;=((Deals!$N$4:$N$9-2026)*12+Deals!$M$4:$M$9))*(1&lt;((Deals!$N$4:$N$9-2026)*12+Deals!$M$4:$M$9)+12))*Deals!$Q$4:$Q$9/12)+SUMPRODUCT(((1&gt;=((Deals!$N$4:$N$9-2026)*12+Deals!$M$4:$M$9)+12)*(1&lt;((Deals!$N$4:$N$9-2026)*12+Deals!$M$4:$M$9)+24))*(Deals!$AB$4:$AB$9+Deals!$AD$4:$AD$9+Deals!$V$4:$V$9)/12)+SUMPRODUCT(((1&gt;=((Deals!$N$4:$N$9-2026)*12+Deals!$M$4:$M$9)+24)*(1&lt;((Deals!$N$4:$N$9-2026)*12+Deals!$M$4:$M$9)+36))*(Deals!$AC$4:$AC$9+Deals!$AE$4:$AE$9+Deals!$W$4:$W$9)/12)</f>
        <v/>
      </c>
      <c r="D10" s="34">
        <f>Forecast_PL!B29/12</f>
        <v/>
      </c>
      <c r="E10" s="34">
        <f>C10-D10</f>
        <v/>
      </c>
      <c r="F10" s="34">
        <f>IF(A10=$B$5,$B$4,0)+E10</f>
        <v/>
      </c>
      <c r="G10" s="2" t="inlineStr"/>
    </row>
    <row r="11">
      <c r="A11" s="4" t="n">
        <v>2</v>
      </c>
      <c r="B11" s="4" t="inlineStr">
        <is>
          <t>2026-02</t>
        </is>
      </c>
      <c r="C11" s="33">
        <f>SUMPRODUCT(((2&gt;=((Deals!$N$4:$N$9-2026)*12+Deals!$M$4:$M$9))*(2&lt;((Deals!$N$4:$N$9-2026)*12+Deals!$M$4:$M$9)+12))*Deals!$Q$4:$Q$9/12)+SUMPRODUCT(((2&gt;=((Deals!$N$4:$N$9-2026)*12+Deals!$M$4:$M$9)+12)*(2&lt;((Deals!$N$4:$N$9-2026)*12+Deals!$M$4:$M$9)+24))*(Deals!$AB$4:$AB$9+Deals!$AD$4:$AD$9+Deals!$V$4:$V$9)/12)+SUMPRODUCT(((2&gt;=((Deals!$N$4:$N$9-2026)*12+Deals!$M$4:$M$9)+24)*(2&lt;((Deals!$N$4:$N$9-2026)*12+Deals!$M$4:$M$9)+36))*(Deals!$AC$4:$AC$9+Deals!$AE$4:$AE$9+Deals!$W$4:$W$9)/12)</f>
        <v/>
      </c>
      <c r="D11" s="34">
        <f>Forecast_PL!B29/12</f>
        <v/>
      </c>
      <c r="E11" s="34">
        <f>C11-D11</f>
        <v/>
      </c>
      <c r="F11" s="34">
        <f>F10+IF(A11=$B$5,$B$4,0)+E11</f>
        <v/>
      </c>
      <c r="G11" s="2" t="inlineStr"/>
    </row>
    <row r="12">
      <c r="A12" s="4" t="n">
        <v>3</v>
      </c>
      <c r="B12" s="4" t="inlineStr">
        <is>
          <t>2026-03</t>
        </is>
      </c>
      <c r="C12" s="33">
        <f>SUMPRODUCT(((3&gt;=((Deals!$N$4:$N$9-2026)*12+Deals!$M$4:$M$9))*(3&lt;((Deals!$N$4:$N$9-2026)*12+Deals!$M$4:$M$9)+12))*Deals!$Q$4:$Q$9/12)+SUMPRODUCT(((3&gt;=((Deals!$N$4:$N$9-2026)*12+Deals!$M$4:$M$9)+12)*(3&lt;((Deals!$N$4:$N$9-2026)*12+Deals!$M$4:$M$9)+24))*(Deals!$AB$4:$AB$9+Deals!$AD$4:$AD$9+Deals!$V$4:$V$9)/12)+SUMPRODUCT(((3&gt;=((Deals!$N$4:$N$9-2026)*12+Deals!$M$4:$M$9)+24)*(3&lt;((Deals!$N$4:$N$9-2026)*12+Deals!$M$4:$M$9)+36))*(Deals!$AC$4:$AC$9+Deals!$AE$4:$AE$9+Deals!$W$4:$W$9)/12)</f>
        <v/>
      </c>
      <c r="D12" s="34">
        <f>Forecast_PL!B29/12</f>
        <v/>
      </c>
      <c r="E12" s="34">
        <f>C12-D12</f>
        <v/>
      </c>
      <c r="F12" s="34">
        <f>F11+IF(A12=$B$5,$B$4,0)+E12</f>
        <v/>
      </c>
      <c r="G12" s="2" t="inlineStr"/>
    </row>
    <row r="13">
      <c r="A13" s="4" t="n">
        <v>4</v>
      </c>
      <c r="B13" s="4" t="inlineStr">
        <is>
          <t>2026-04</t>
        </is>
      </c>
      <c r="C13" s="33">
        <f>SUMPRODUCT(((4&gt;=((Deals!$N$4:$N$9-2026)*12+Deals!$M$4:$M$9))*(4&lt;((Deals!$N$4:$N$9-2026)*12+Deals!$M$4:$M$9)+12))*Deals!$Q$4:$Q$9/12)+SUMPRODUCT(((4&gt;=((Deals!$N$4:$N$9-2026)*12+Deals!$M$4:$M$9)+12)*(4&lt;((Deals!$N$4:$N$9-2026)*12+Deals!$M$4:$M$9)+24))*(Deals!$AB$4:$AB$9+Deals!$AD$4:$AD$9+Deals!$V$4:$V$9)/12)+SUMPRODUCT(((4&gt;=((Deals!$N$4:$N$9-2026)*12+Deals!$M$4:$M$9)+24)*(4&lt;((Deals!$N$4:$N$9-2026)*12+Deals!$M$4:$M$9)+36))*(Deals!$AC$4:$AC$9+Deals!$AE$4:$AE$9+Deals!$W$4:$W$9)/12)</f>
        <v/>
      </c>
      <c r="D13" s="34">
        <f>Forecast_PL!B29/12</f>
        <v/>
      </c>
      <c r="E13" s="34">
        <f>C13-D13</f>
        <v/>
      </c>
      <c r="F13" s="34">
        <f>F12+IF(A13=$B$5,$B$4,0)+E13</f>
        <v/>
      </c>
      <c r="G13" s="2" t="inlineStr"/>
    </row>
    <row r="14">
      <c r="A14" s="4" t="n">
        <v>5</v>
      </c>
      <c r="B14" s="4" t="inlineStr">
        <is>
          <t>2026-05</t>
        </is>
      </c>
      <c r="C14" s="33">
        <f>SUMPRODUCT(((5&gt;=((Deals!$N$4:$N$9-2026)*12+Deals!$M$4:$M$9))*(5&lt;((Deals!$N$4:$N$9-2026)*12+Deals!$M$4:$M$9)+12))*Deals!$Q$4:$Q$9/12)+SUMPRODUCT(((5&gt;=((Deals!$N$4:$N$9-2026)*12+Deals!$M$4:$M$9)+12)*(5&lt;((Deals!$N$4:$N$9-2026)*12+Deals!$M$4:$M$9)+24))*(Deals!$AB$4:$AB$9+Deals!$AD$4:$AD$9+Deals!$V$4:$V$9)/12)+SUMPRODUCT(((5&gt;=((Deals!$N$4:$N$9-2026)*12+Deals!$M$4:$M$9)+24)*(5&lt;((Deals!$N$4:$N$9-2026)*12+Deals!$M$4:$M$9)+36))*(Deals!$AC$4:$AC$9+Deals!$AE$4:$AE$9+Deals!$W$4:$W$9)/12)</f>
        <v/>
      </c>
      <c r="D14" s="34">
        <f>Forecast_PL!B29/12</f>
        <v/>
      </c>
      <c r="E14" s="34">
        <f>C14-D14</f>
        <v/>
      </c>
      <c r="F14" s="34">
        <f>F13+IF(A14=$B$5,$B$4,0)+E14</f>
        <v/>
      </c>
      <c r="G14" s="2" t="inlineStr"/>
    </row>
    <row r="15">
      <c r="A15" s="4" t="n">
        <v>6</v>
      </c>
      <c r="B15" s="4" t="inlineStr">
        <is>
          <t>2026-06</t>
        </is>
      </c>
      <c r="C15" s="33">
        <f>SUMPRODUCT(((6&gt;=((Deals!$N$4:$N$9-2026)*12+Deals!$M$4:$M$9))*(6&lt;((Deals!$N$4:$N$9-2026)*12+Deals!$M$4:$M$9)+12))*Deals!$Q$4:$Q$9/12)+SUMPRODUCT(((6&gt;=((Deals!$N$4:$N$9-2026)*12+Deals!$M$4:$M$9)+12)*(6&lt;((Deals!$N$4:$N$9-2026)*12+Deals!$M$4:$M$9)+24))*(Deals!$AB$4:$AB$9+Deals!$AD$4:$AD$9+Deals!$V$4:$V$9)/12)+SUMPRODUCT(((6&gt;=((Deals!$N$4:$N$9-2026)*12+Deals!$M$4:$M$9)+24)*(6&lt;((Deals!$N$4:$N$9-2026)*12+Deals!$M$4:$M$9)+36))*(Deals!$AC$4:$AC$9+Deals!$AE$4:$AE$9+Deals!$W$4:$W$9)/12)</f>
        <v/>
      </c>
      <c r="D15" s="34">
        <f>Forecast_PL!B29/12</f>
        <v/>
      </c>
      <c r="E15" s="34">
        <f>C15-D15</f>
        <v/>
      </c>
      <c r="F15" s="34">
        <f>F14+IF(A15=$B$5,$B$4,0)+E15</f>
        <v/>
      </c>
      <c r="G15" s="2" t="inlineStr">
        <is>
          <t>AusCycling launch (Jun 2026)</t>
        </is>
      </c>
    </row>
    <row r="16">
      <c r="A16" s="4" t="n">
        <v>7</v>
      </c>
      <c r="B16" s="4" t="inlineStr">
        <is>
          <t>2026-07</t>
        </is>
      </c>
      <c r="C16" s="33">
        <f>SUMPRODUCT(((7&gt;=((Deals!$N$4:$N$9-2026)*12+Deals!$M$4:$M$9))*(7&lt;((Deals!$N$4:$N$9-2026)*12+Deals!$M$4:$M$9)+12))*Deals!$Q$4:$Q$9/12)+SUMPRODUCT(((7&gt;=((Deals!$N$4:$N$9-2026)*12+Deals!$M$4:$M$9)+12)*(7&lt;((Deals!$N$4:$N$9-2026)*12+Deals!$M$4:$M$9)+24))*(Deals!$AB$4:$AB$9+Deals!$AD$4:$AD$9+Deals!$V$4:$V$9)/12)+SUMPRODUCT(((7&gt;=((Deals!$N$4:$N$9-2026)*12+Deals!$M$4:$M$9)+24)*(7&lt;((Deals!$N$4:$N$9-2026)*12+Deals!$M$4:$M$9)+36))*(Deals!$AC$4:$AC$9+Deals!$AE$4:$AE$9+Deals!$W$4:$W$9)/12)</f>
        <v/>
      </c>
      <c r="D16" s="34">
        <f>Forecast_PL!C29/12</f>
        <v/>
      </c>
      <c r="E16" s="34">
        <f>C16-D16</f>
        <v/>
      </c>
      <c r="F16" s="34">
        <f>F15+IF(A16=$B$5,$B$4,0)+E16</f>
        <v/>
      </c>
      <c r="G16" s="2" t="inlineStr"/>
    </row>
    <row r="17">
      <c r="A17" s="4" t="n">
        <v>8</v>
      </c>
      <c r="B17" s="4" t="inlineStr">
        <is>
          <t>2026-08</t>
        </is>
      </c>
      <c r="C17" s="33">
        <f>SUMPRODUCT(((8&gt;=((Deals!$N$4:$N$9-2026)*12+Deals!$M$4:$M$9))*(8&lt;((Deals!$N$4:$N$9-2026)*12+Deals!$M$4:$M$9)+12))*Deals!$Q$4:$Q$9/12)+SUMPRODUCT(((8&gt;=((Deals!$N$4:$N$9-2026)*12+Deals!$M$4:$M$9)+12)*(8&lt;((Deals!$N$4:$N$9-2026)*12+Deals!$M$4:$M$9)+24))*(Deals!$AB$4:$AB$9+Deals!$AD$4:$AD$9+Deals!$V$4:$V$9)/12)+SUMPRODUCT(((8&gt;=((Deals!$N$4:$N$9-2026)*12+Deals!$M$4:$M$9)+24)*(8&lt;((Deals!$N$4:$N$9-2026)*12+Deals!$M$4:$M$9)+36))*(Deals!$AC$4:$AC$9+Deals!$AE$4:$AE$9+Deals!$W$4:$W$9)/12)</f>
        <v/>
      </c>
      <c r="D17" s="34">
        <f>Forecast_PL!C29/12</f>
        <v/>
      </c>
      <c r="E17" s="34">
        <f>C17-D17</f>
        <v/>
      </c>
      <c r="F17" s="34">
        <f>F16+IF(A17=$B$5,$B$4,0)+E17</f>
        <v/>
      </c>
      <c r="G17" s="2" t="inlineStr">
        <is>
          <t>Seed close target (A$600K)</t>
        </is>
      </c>
    </row>
    <row r="18">
      <c r="A18" s="4" t="n">
        <v>9</v>
      </c>
      <c r="B18" s="4" t="inlineStr">
        <is>
          <t>2026-09</t>
        </is>
      </c>
      <c r="C18" s="33">
        <f>SUMPRODUCT(((9&gt;=((Deals!$N$4:$N$9-2026)*12+Deals!$M$4:$M$9))*(9&lt;((Deals!$N$4:$N$9-2026)*12+Deals!$M$4:$M$9)+12))*Deals!$Q$4:$Q$9/12)+SUMPRODUCT(((9&gt;=((Deals!$N$4:$N$9-2026)*12+Deals!$M$4:$M$9)+12)*(9&lt;((Deals!$N$4:$N$9-2026)*12+Deals!$M$4:$M$9)+24))*(Deals!$AB$4:$AB$9+Deals!$AD$4:$AD$9+Deals!$V$4:$V$9)/12)+SUMPRODUCT(((9&gt;=((Deals!$N$4:$N$9-2026)*12+Deals!$M$4:$M$9)+24)*(9&lt;((Deals!$N$4:$N$9-2026)*12+Deals!$M$4:$M$9)+36))*(Deals!$AC$4:$AC$9+Deals!$AE$4:$AE$9+Deals!$W$4:$W$9)/12)</f>
        <v/>
      </c>
      <c r="D18" s="34">
        <f>Forecast_PL!C29/12</f>
        <v/>
      </c>
      <c r="E18" s="34">
        <f>C18-D18</f>
        <v/>
      </c>
      <c r="F18" s="34">
        <f>F17+IF(A18=$B$5,$B$4,0)+E18</f>
        <v/>
      </c>
      <c r="G18" s="2" t="inlineStr"/>
    </row>
    <row r="19">
      <c r="A19" s="4" t="n">
        <v>10</v>
      </c>
      <c r="B19" s="4" t="inlineStr">
        <is>
          <t>2026-10</t>
        </is>
      </c>
      <c r="C19" s="33">
        <f>SUMPRODUCT(((10&gt;=((Deals!$N$4:$N$9-2026)*12+Deals!$M$4:$M$9))*(10&lt;((Deals!$N$4:$N$9-2026)*12+Deals!$M$4:$M$9)+12))*Deals!$Q$4:$Q$9/12)+SUMPRODUCT(((10&gt;=((Deals!$N$4:$N$9-2026)*12+Deals!$M$4:$M$9)+12)*(10&lt;((Deals!$N$4:$N$9-2026)*12+Deals!$M$4:$M$9)+24))*(Deals!$AB$4:$AB$9+Deals!$AD$4:$AD$9+Deals!$V$4:$V$9)/12)+SUMPRODUCT(((10&gt;=((Deals!$N$4:$N$9-2026)*12+Deals!$M$4:$M$9)+24)*(10&lt;((Deals!$N$4:$N$9-2026)*12+Deals!$M$4:$M$9)+36))*(Deals!$AC$4:$AC$9+Deals!$AE$4:$AE$9+Deals!$W$4:$W$9)/12)</f>
        <v/>
      </c>
      <c r="D19" s="34">
        <f>Forecast_PL!C29/12</f>
        <v/>
      </c>
      <c r="E19" s="34">
        <f>C19-D19</f>
        <v/>
      </c>
      <c r="F19" s="34">
        <f>F18+IF(A19=$B$5,$B$4,0)+E19</f>
        <v/>
      </c>
      <c r="G19" s="2" t="inlineStr"/>
    </row>
    <row r="20">
      <c r="A20" s="4" t="n">
        <v>11</v>
      </c>
      <c r="B20" s="4" t="inlineStr">
        <is>
          <t>2026-11</t>
        </is>
      </c>
      <c r="C20" s="33">
        <f>SUMPRODUCT(((11&gt;=((Deals!$N$4:$N$9-2026)*12+Deals!$M$4:$M$9))*(11&lt;((Deals!$N$4:$N$9-2026)*12+Deals!$M$4:$M$9)+12))*Deals!$Q$4:$Q$9/12)+SUMPRODUCT(((11&gt;=((Deals!$N$4:$N$9-2026)*12+Deals!$M$4:$M$9)+12)*(11&lt;((Deals!$N$4:$N$9-2026)*12+Deals!$M$4:$M$9)+24))*(Deals!$AB$4:$AB$9+Deals!$AD$4:$AD$9+Deals!$V$4:$V$9)/12)+SUMPRODUCT(((11&gt;=((Deals!$N$4:$N$9-2026)*12+Deals!$M$4:$M$9)+24)*(11&lt;((Deals!$N$4:$N$9-2026)*12+Deals!$M$4:$M$9)+36))*(Deals!$AC$4:$AC$9+Deals!$AE$4:$AE$9+Deals!$W$4:$W$9)/12)</f>
        <v/>
      </c>
      <c r="D20" s="34">
        <f>Forecast_PL!C29/12</f>
        <v/>
      </c>
      <c r="E20" s="34">
        <f>C20-D20</f>
        <v/>
      </c>
      <c r="F20" s="34">
        <f>F19+IF(A20=$B$5,$B$4,0)+E20</f>
        <v/>
      </c>
      <c r="G20" s="2" t="inlineStr"/>
    </row>
    <row r="21">
      <c r="A21" s="4" t="n">
        <v>12</v>
      </c>
      <c r="B21" s="4" t="inlineStr">
        <is>
          <t>2026-12</t>
        </is>
      </c>
      <c r="C21" s="33">
        <f>SUMPRODUCT(((12&gt;=((Deals!$N$4:$N$9-2026)*12+Deals!$M$4:$M$9))*(12&lt;((Deals!$N$4:$N$9-2026)*12+Deals!$M$4:$M$9)+12))*Deals!$Q$4:$Q$9/12)+SUMPRODUCT(((12&gt;=((Deals!$N$4:$N$9-2026)*12+Deals!$M$4:$M$9)+12)*(12&lt;((Deals!$N$4:$N$9-2026)*12+Deals!$M$4:$M$9)+24))*(Deals!$AB$4:$AB$9+Deals!$AD$4:$AD$9+Deals!$V$4:$V$9)/12)+SUMPRODUCT(((12&gt;=((Deals!$N$4:$N$9-2026)*12+Deals!$M$4:$M$9)+24)*(12&lt;((Deals!$N$4:$N$9-2026)*12+Deals!$M$4:$M$9)+36))*(Deals!$AC$4:$AC$9+Deals!$AE$4:$AE$9+Deals!$W$4:$W$9)/12)</f>
        <v/>
      </c>
      <c r="D21" s="34">
        <f>Forecast_PL!C29/12</f>
        <v/>
      </c>
      <c r="E21" s="34">
        <f>C21-D21</f>
        <v/>
      </c>
      <c r="F21" s="34">
        <f>F20+IF(A21=$B$5,$B$4,0)+E21</f>
        <v/>
      </c>
      <c r="G21" s="2" t="inlineStr">
        <is>
          <t>End FY2026</t>
        </is>
      </c>
    </row>
    <row r="22">
      <c r="A22" s="4" t="n">
        <v>13</v>
      </c>
      <c r="B22" s="4" t="inlineStr">
        <is>
          <t>2027-01</t>
        </is>
      </c>
      <c r="C22" s="33">
        <f>SUMPRODUCT(((13&gt;=((Deals!$N$4:$N$9-2026)*12+Deals!$M$4:$M$9))*(13&lt;((Deals!$N$4:$N$9-2026)*12+Deals!$M$4:$M$9)+12))*Deals!$Q$4:$Q$9/12)+SUMPRODUCT(((13&gt;=((Deals!$N$4:$N$9-2026)*12+Deals!$M$4:$M$9)+12)*(13&lt;((Deals!$N$4:$N$9-2026)*12+Deals!$M$4:$M$9)+24))*(Deals!$AB$4:$AB$9+Deals!$AD$4:$AD$9+Deals!$V$4:$V$9)/12)+SUMPRODUCT(((13&gt;=((Deals!$N$4:$N$9-2026)*12+Deals!$M$4:$M$9)+24)*(13&lt;((Deals!$N$4:$N$9-2026)*12+Deals!$M$4:$M$9)+36))*(Deals!$AC$4:$AC$9+Deals!$AE$4:$AE$9+Deals!$W$4:$W$9)/12)</f>
        <v/>
      </c>
      <c r="D22" s="34">
        <f>Forecast_PL!C29/12</f>
        <v/>
      </c>
      <c r="E22" s="34">
        <f>C22-D22</f>
        <v/>
      </c>
      <c r="F22" s="34">
        <f>F21+IF(A22=$B$5,$B$4,0)+E22</f>
        <v/>
      </c>
      <c r="G22" s="2" t="inlineStr"/>
    </row>
    <row r="23">
      <c r="A23" s="4" t="n">
        <v>14</v>
      </c>
      <c r="B23" s="4" t="inlineStr">
        <is>
          <t>2027-02</t>
        </is>
      </c>
      <c r="C23" s="33">
        <f>SUMPRODUCT(((14&gt;=((Deals!$N$4:$N$9-2026)*12+Deals!$M$4:$M$9))*(14&lt;((Deals!$N$4:$N$9-2026)*12+Deals!$M$4:$M$9)+12))*Deals!$Q$4:$Q$9/12)+SUMPRODUCT(((14&gt;=((Deals!$N$4:$N$9-2026)*12+Deals!$M$4:$M$9)+12)*(14&lt;((Deals!$N$4:$N$9-2026)*12+Deals!$M$4:$M$9)+24))*(Deals!$AB$4:$AB$9+Deals!$AD$4:$AD$9+Deals!$V$4:$V$9)/12)+SUMPRODUCT(((14&gt;=((Deals!$N$4:$N$9-2026)*12+Deals!$M$4:$M$9)+24)*(14&lt;((Deals!$N$4:$N$9-2026)*12+Deals!$M$4:$M$9)+36))*(Deals!$AC$4:$AC$9+Deals!$AE$4:$AE$9+Deals!$W$4:$W$9)/12)</f>
        <v/>
      </c>
      <c r="D23" s="34">
        <f>Forecast_PL!C29/12</f>
        <v/>
      </c>
      <c r="E23" s="34">
        <f>C23-D23</f>
        <v/>
      </c>
      <c r="F23" s="34">
        <f>F22+IF(A23=$B$5,$B$4,0)+E23</f>
        <v/>
      </c>
      <c r="G23" s="2" t="inlineStr"/>
    </row>
    <row r="24">
      <c r="A24" s="4" t="n">
        <v>15</v>
      </c>
      <c r="B24" s="4" t="inlineStr">
        <is>
          <t>2027-03</t>
        </is>
      </c>
      <c r="C24" s="33">
        <f>SUMPRODUCT(((15&gt;=((Deals!$N$4:$N$9-2026)*12+Deals!$M$4:$M$9))*(15&lt;((Deals!$N$4:$N$9-2026)*12+Deals!$M$4:$M$9)+12))*Deals!$Q$4:$Q$9/12)+SUMPRODUCT(((15&gt;=((Deals!$N$4:$N$9-2026)*12+Deals!$M$4:$M$9)+12)*(15&lt;((Deals!$N$4:$N$9-2026)*12+Deals!$M$4:$M$9)+24))*(Deals!$AB$4:$AB$9+Deals!$AD$4:$AD$9+Deals!$V$4:$V$9)/12)+SUMPRODUCT(((15&gt;=((Deals!$N$4:$N$9-2026)*12+Deals!$M$4:$M$9)+24)*(15&lt;((Deals!$N$4:$N$9-2026)*12+Deals!$M$4:$M$9)+36))*(Deals!$AC$4:$AC$9+Deals!$AE$4:$AE$9+Deals!$W$4:$W$9)/12)</f>
        <v/>
      </c>
      <c r="D24" s="34">
        <f>Forecast_PL!C29/12</f>
        <v/>
      </c>
      <c r="E24" s="34">
        <f>C24-D24</f>
        <v/>
      </c>
      <c r="F24" s="34">
        <f>F23+IF(A24=$B$5,$B$4,0)+E24</f>
        <v/>
      </c>
      <c r="G24" s="2" t="inlineStr"/>
    </row>
    <row r="25">
      <c r="A25" s="4" t="n">
        <v>16</v>
      </c>
      <c r="B25" s="4" t="inlineStr">
        <is>
          <t>2027-04</t>
        </is>
      </c>
      <c r="C25" s="33">
        <f>SUMPRODUCT(((16&gt;=((Deals!$N$4:$N$9-2026)*12+Deals!$M$4:$M$9))*(16&lt;((Deals!$N$4:$N$9-2026)*12+Deals!$M$4:$M$9)+12))*Deals!$Q$4:$Q$9/12)+SUMPRODUCT(((16&gt;=((Deals!$N$4:$N$9-2026)*12+Deals!$M$4:$M$9)+12)*(16&lt;((Deals!$N$4:$N$9-2026)*12+Deals!$M$4:$M$9)+24))*(Deals!$AB$4:$AB$9+Deals!$AD$4:$AD$9+Deals!$V$4:$V$9)/12)+SUMPRODUCT(((16&gt;=((Deals!$N$4:$N$9-2026)*12+Deals!$M$4:$M$9)+24)*(16&lt;((Deals!$N$4:$N$9-2026)*12+Deals!$M$4:$M$9)+36))*(Deals!$AC$4:$AC$9+Deals!$AE$4:$AE$9+Deals!$W$4:$W$9)/12)</f>
        <v/>
      </c>
      <c r="D25" s="34">
        <f>Forecast_PL!C29/12</f>
        <v/>
      </c>
      <c r="E25" s="34">
        <f>C25-D25</f>
        <v/>
      </c>
      <c r="F25" s="34">
        <f>F24+IF(A25=$B$5,$B$4,0)+E25</f>
        <v/>
      </c>
      <c r="G25" s="2" t="inlineStr"/>
    </row>
    <row r="26">
      <c r="A26" s="4" t="n">
        <v>17</v>
      </c>
      <c r="B26" s="4" t="inlineStr">
        <is>
          <t>2027-05</t>
        </is>
      </c>
      <c r="C26" s="33">
        <f>SUMPRODUCT(((17&gt;=((Deals!$N$4:$N$9-2026)*12+Deals!$M$4:$M$9))*(17&lt;((Deals!$N$4:$N$9-2026)*12+Deals!$M$4:$M$9)+12))*Deals!$Q$4:$Q$9/12)+SUMPRODUCT(((17&gt;=((Deals!$N$4:$N$9-2026)*12+Deals!$M$4:$M$9)+12)*(17&lt;((Deals!$N$4:$N$9-2026)*12+Deals!$M$4:$M$9)+24))*(Deals!$AB$4:$AB$9+Deals!$AD$4:$AD$9+Deals!$V$4:$V$9)/12)+SUMPRODUCT(((17&gt;=((Deals!$N$4:$N$9-2026)*12+Deals!$M$4:$M$9)+24)*(17&lt;((Deals!$N$4:$N$9-2026)*12+Deals!$M$4:$M$9)+36))*(Deals!$AC$4:$AC$9+Deals!$AE$4:$AE$9+Deals!$W$4:$W$9)/12)</f>
        <v/>
      </c>
      <c r="D26" s="34">
        <f>Forecast_PL!C29/12</f>
        <v/>
      </c>
      <c r="E26" s="34">
        <f>C26-D26</f>
        <v/>
      </c>
      <c r="F26" s="34">
        <f>F25+IF(A26=$B$5,$B$4,0)+E26</f>
        <v/>
      </c>
      <c r="G26" s="2" t="inlineStr"/>
    </row>
    <row r="27">
      <c r="A27" s="4" t="n">
        <v>18</v>
      </c>
      <c r="B27" s="4" t="inlineStr">
        <is>
          <t>2027-06</t>
        </is>
      </c>
      <c r="C27" s="33">
        <f>SUMPRODUCT(((18&gt;=((Deals!$N$4:$N$9-2026)*12+Deals!$M$4:$M$9))*(18&lt;((Deals!$N$4:$N$9-2026)*12+Deals!$M$4:$M$9)+12))*Deals!$Q$4:$Q$9/12)+SUMPRODUCT(((18&gt;=((Deals!$N$4:$N$9-2026)*12+Deals!$M$4:$M$9)+12)*(18&lt;((Deals!$N$4:$N$9-2026)*12+Deals!$M$4:$M$9)+24))*(Deals!$AB$4:$AB$9+Deals!$AD$4:$AD$9+Deals!$V$4:$V$9)/12)+SUMPRODUCT(((18&gt;=((Deals!$N$4:$N$9-2026)*12+Deals!$M$4:$M$9)+24)*(18&lt;((Deals!$N$4:$N$9-2026)*12+Deals!$M$4:$M$9)+36))*(Deals!$AC$4:$AC$9+Deals!$AE$4:$AE$9+Deals!$W$4:$W$9)/12)</f>
        <v/>
      </c>
      <c r="D27" s="34">
        <f>Forecast_PL!C29/12</f>
        <v/>
      </c>
      <c r="E27" s="34">
        <f>C27-D27</f>
        <v/>
      </c>
      <c r="F27" s="34">
        <f>F26+IF(A27=$B$5,$B$4,0)+E27</f>
        <v/>
      </c>
      <c r="G27" s="2" t="inlineStr"/>
    </row>
    <row r="28">
      <c r="A28" s="4" t="n">
        <v>19</v>
      </c>
      <c r="B28" s="4" t="inlineStr">
        <is>
          <t>2027-07</t>
        </is>
      </c>
      <c r="C28" s="33">
        <f>SUMPRODUCT(((19&gt;=((Deals!$N$4:$N$9-2026)*12+Deals!$M$4:$M$9))*(19&lt;((Deals!$N$4:$N$9-2026)*12+Deals!$M$4:$M$9)+12))*Deals!$Q$4:$Q$9/12)+SUMPRODUCT(((19&gt;=((Deals!$N$4:$N$9-2026)*12+Deals!$M$4:$M$9)+12)*(19&lt;((Deals!$N$4:$N$9-2026)*12+Deals!$M$4:$M$9)+24))*(Deals!$AB$4:$AB$9+Deals!$AD$4:$AD$9+Deals!$V$4:$V$9)/12)+SUMPRODUCT(((19&gt;=((Deals!$N$4:$N$9-2026)*12+Deals!$M$4:$M$9)+24)*(19&lt;((Deals!$N$4:$N$9-2026)*12+Deals!$M$4:$M$9)+36))*(Deals!$AC$4:$AC$9+Deals!$AE$4:$AE$9+Deals!$W$4:$W$9)/12)</f>
        <v/>
      </c>
      <c r="D28" s="34">
        <f>Forecast_PL!D29/12</f>
        <v/>
      </c>
      <c r="E28" s="34">
        <f>C28-D28</f>
        <v/>
      </c>
      <c r="F28" s="34">
        <f>F27+IF(A28=$B$5,$B$4,0)+E28</f>
        <v/>
      </c>
      <c r="G28" s="2" t="inlineStr"/>
    </row>
    <row r="29">
      <c r="A29" s="4" t="n">
        <v>20</v>
      </c>
      <c r="B29" s="4" t="inlineStr">
        <is>
          <t>2027-08</t>
        </is>
      </c>
      <c r="C29" s="33">
        <f>SUMPRODUCT(((20&gt;=((Deals!$N$4:$N$9-2026)*12+Deals!$M$4:$M$9))*(20&lt;((Deals!$N$4:$N$9-2026)*12+Deals!$M$4:$M$9)+12))*Deals!$Q$4:$Q$9/12)+SUMPRODUCT(((20&gt;=((Deals!$N$4:$N$9-2026)*12+Deals!$M$4:$M$9)+12)*(20&lt;((Deals!$N$4:$N$9-2026)*12+Deals!$M$4:$M$9)+24))*(Deals!$AB$4:$AB$9+Deals!$AD$4:$AD$9+Deals!$V$4:$V$9)/12)+SUMPRODUCT(((20&gt;=((Deals!$N$4:$N$9-2026)*12+Deals!$M$4:$M$9)+24)*(20&lt;((Deals!$N$4:$N$9-2026)*12+Deals!$M$4:$M$9)+36))*(Deals!$AC$4:$AC$9+Deals!$AE$4:$AE$9+Deals!$W$4:$W$9)/12)</f>
        <v/>
      </c>
      <c r="D29" s="34">
        <f>Forecast_PL!D29/12</f>
        <v/>
      </c>
      <c r="E29" s="34">
        <f>C29-D29</f>
        <v/>
      </c>
      <c r="F29" s="34">
        <f>F28+IF(A29=$B$5,$B$4,0)+E29</f>
        <v/>
      </c>
      <c r="G29" s="2" t="inlineStr"/>
    </row>
    <row r="30">
      <c r="A30" s="4" t="n">
        <v>21</v>
      </c>
      <c r="B30" s="4" t="inlineStr">
        <is>
          <t>2027-09</t>
        </is>
      </c>
      <c r="C30" s="33">
        <f>SUMPRODUCT(((21&gt;=((Deals!$N$4:$N$9-2026)*12+Deals!$M$4:$M$9))*(21&lt;((Deals!$N$4:$N$9-2026)*12+Deals!$M$4:$M$9)+12))*Deals!$Q$4:$Q$9/12)+SUMPRODUCT(((21&gt;=((Deals!$N$4:$N$9-2026)*12+Deals!$M$4:$M$9)+12)*(21&lt;((Deals!$N$4:$N$9-2026)*12+Deals!$M$4:$M$9)+24))*(Deals!$AB$4:$AB$9+Deals!$AD$4:$AD$9+Deals!$V$4:$V$9)/12)+SUMPRODUCT(((21&gt;=((Deals!$N$4:$N$9-2026)*12+Deals!$M$4:$M$9)+24)*(21&lt;((Deals!$N$4:$N$9-2026)*12+Deals!$M$4:$M$9)+36))*(Deals!$AC$4:$AC$9+Deals!$AE$4:$AE$9+Deals!$W$4:$W$9)/12)</f>
        <v/>
      </c>
      <c r="D30" s="34">
        <f>Forecast_PL!D29/12</f>
        <v/>
      </c>
      <c r="E30" s="34">
        <f>C30-D30</f>
        <v/>
      </c>
      <c r="F30" s="34">
        <f>F29+IF(A30=$B$5,$B$4,0)+E30</f>
        <v/>
      </c>
      <c r="G30" s="2" t="inlineStr"/>
    </row>
    <row r="31">
      <c r="A31" s="4" t="n">
        <v>22</v>
      </c>
      <c r="B31" s="4" t="inlineStr">
        <is>
          <t>2027-10</t>
        </is>
      </c>
      <c r="C31" s="33">
        <f>SUMPRODUCT(((22&gt;=((Deals!$N$4:$N$9-2026)*12+Deals!$M$4:$M$9))*(22&lt;((Deals!$N$4:$N$9-2026)*12+Deals!$M$4:$M$9)+12))*Deals!$Q$4:$Q$9/12)+SUMPRODUCT(((22&gt;=((Deals!$N$4:$N$9-2026)*12+Deals!$M$4:$M$9)+12)*(22&lt;((Deals!$N$4:$N$9-2026)*12+Deals!$M$4:$M$9)+24))*(Deals!$AB$4:$AB$9+Deals!$AD$4:$AD$9+Deals!$V$4:$V$9)/12)+SUMPRODUCT(((22&gt;=((Deals!$N$4:$N$9-2026)*12+Deals!$M$4:$M$9)+24)*(22&lt;((Deals!$N$4:$N$9-2026)*12+Deals!$M$4:$M$9)+36))*(Deals!$AC$4:$AC$9+Deals!$AE$4:$AE$9+Deals!$W$4:$W$9)/12)</f>
        <v/>
      </c>
      <c r="D31" s="34">
        <f>Forecast_PL!D29/12</f>
        <v/>
      </c>
      <c r="E31" s="34">
        <f>C31-D31</f>
        <v/>
      </c>
      <c r="F31" s="34">
        <f>F30+IF(A31=$B$5,$B$4,0)+E31</f>
        <v/>
      </c>
      <c r="G31" s="2" t="inlineStr"/>
    </row>
    <row r="32">
      <c r="A32" s="4" t="n">
        <v>23</v>
      </c>
      <c r="B32" s="4" t="inlineStr">
        <is>
          <t>2027-11</t>
        </is>
      </c>
      <c r="C32" s="33">
        <f>SUMPRODUCT(((23&gt;=((Deals!$N$4:$N$9-2026)*12+Deals!$M$4:$M$9))*(23&lt;((Deals!$N$4:$N$9-2026)*12+Deals!$M$4:$M$9)+12))*Deals!$Q$4:$Q$9/12)+SUMPRODUCT(((23&gt;=((Deals!$N$4:$N$9-2026)*12+Deals!$M$4:$M$9)+12)*(23&lt;((Deals!$N$4:$N$9-2026)*12+Deals!$M$4:$M$9)+24))*(Deals!$AB$4:$AB$9+Deals!$AD$4:$AD$9+Deals!$V$4:$V$9)/12)+SUMPRODUCT(((23&gt;=((Deals!$N$4:$N$9-2026)*12+Deals!$M$4:$M$9)+24)*(23&lt;((Deals!$N$4:$N$9-2026)*12+Deals!$M$4:$M$9)+36))*(Deals!$AC$4:$AC$9+Deals!$AE$4:$AE$9+Deals!$W$4:$W$9)/12)</f>
        <v/>
      </c>
      <c r="D32" s="34">
        <f>Forecast_PL!D29/12</f>
        <v/>
      </c>
      <c r="E32" s="34">
        <f>C32-D32</f>
        <v/>
      </c>
      <c r="F32" s="34">
        <f>F31+IF(A32=$B$5,$B$4,0)+E32</f>
        <v/>
      </c>
      <c r="G32" s="2" t="inlineStr"/>
    </row>
    <row r="33">
      <c r="A33" s="4" t="n">
        <v>24</v>
      </c>
      <c r="B33" s="4" t="inlineStr">
        <is>
          <t>2027-12</t>
        </is>
      </c>
      <c r="C33" s="33">
        <f>SUMPRODUCT(((24&gt;=((Deals!$N$4:$N$9-2026)*12+Deals!$M$4:$M$9))*(24&lt;((Deals!$N$4:$N$9-2026)*12+Deals!$M$4:$M$9)+12))*Deals!$Q$4:$Q$9/12)+SUMPRODUCT(((24&gt;=((Deals!$N$4:$N$9-2026)*12+Deals!$M$4:$M$9)+12)*(24&lt;((Deals!$N$4:$N$9-2026)*12+Deals!$M$4:$M$9)+24))*(Deals!$AB$4:$AB$9+Deals!$AD$4:$AD$9+Deals!$V$4:$V$9)/12)+SUMPRODUCT(((24&gt;=((Deals!$N$4:$N$9-2026)*12+Deals!$M$4:$M$9)+24)*(24&lt;((Deals!$N$4:$N$9-2026)*12+Deals!$M$4:$M$9)+36))*(Deals!$AC$4:$AC$9+Deals!$AE$4:$AE$9+Deals!$W$4:$W$9)/12)</f>
        <v/>
      </c>
      <c r="D33" s="34">
        <f>Forecast_PL!D29/12</f>
        <v/>
      </c>
      <c r="E33" s="34">
        <f>C33-D33</f>
        <v/>
      </c>
      <c r="F33" s="34">
        <f>F32+IF(A33=$B$5,$B$4,0)+E33</f>
        <v/>
      </c>
      <c r="G33" s="2" t="inlineStr">
        <is>
          <t>End FY2027 — A$720K ARR target (AusTech)</t>
        </is>
      </c>
    </row>
    <row r="34">
      <c r="A34" s="4" t="n">
        <v>25</v>
      </c>
      <c r="B34" s="4" t="inlineStr">
        <is>
          <t>2028-01</t>
        </is>
      </c>
      <c r="C34" s="33">
        <f>SUMPRODUCT(((25&gt;=((Deals!$N$4:$N$9-2026)*12+Deals!$M$4:$M$9))*(25&lt;((Deals!$N$4:$N$9-2026)*12+Deals!$M$4:$M$9)+12))*Deals!$Q$4:$Q$9/12)+SUMPRODUCT(((25&gt;=((Deals!$N$4:$N$9-2026)*12+Deals!$M$4:$M$9)+12)*(25&lt;((Deals!$N$4:$N$9-2026)*12+Deals!$M$4:$M$9)+24))*(Deals!$AB$4:$AB$9+Deals!$AD$4:$AD$9+Deals!$V$4:$V$9)/12)+SUMPRODUCT(((25&gt;=((Deals!$N$4:$N$9-2026)*12+Deals!$M$4:$M$9)+24)*(25&lt;((Deals!$N$4:$N$9-2026)*12+Deals!$M$4:$M$9)+36))*(Deals!$AC$4:$AC$9+Deals!$AE$4:$AE$9+Deals!$W$4:$W$9)/12)</f>
        <v/>
      </c>
      <c r="D34" s="34">
        <f>Forecast_PL!D29/12</f>
        <v/>
      </c>
      <c r="E34" s="34">
        <f>C34-D34</f>
        <v/>
      </c>
      <c r="F34" s="34">
        <f>F33+IF(A34=$B$5,$B$4,0)+E34</f>
        <v/>
      </c>
      <c r="G34" s="2" t="inlineStr"/>
    </row>
    <row r="35">
      <c r="A35" s="4" t="n">
        <v>26</v>
      </c>
      <c r="B35" s="4" t="inlineStr">
        <is>
          <t>2028-02</t>
        </is>
      </c>
      <c r="C35" s="33">
        <f>SUMPRODUCT(((26&gt;=((Deals!$N$4:$N$9-2026)*12+Deals!$M$4:$M$9))*(26&lt;((Deals!$N$4:$N$9-2026)*12+Deals!$M$4:$M$9)+12))*Deals!$Q$4:$Q$9/12)+SUMPRODUCT(((26&gt;=((Deals!$N$4:$N$9-2026)*12+Deals!$M$4:$M$9)+12)*(26&lt;((Deals!$N$4:$N$9-2026)*12+Deals!$M$4:$M$9)+24))*(Deals!$AB$4:$AB$9+Deals!$AD$4:$AD$9+Deals!$V$4:$V$9)/12)+SUMPRODUCT(((26&gt;=((Deals!$N$4:$N$9-2026)*12+Deals!$M$4:$M$9)+24)*(26&lt;((Deals!$N$4:$N$9-2026)*12+Deals!$M$4:$M$9)+36))*(Deals!$AC$4:$AC$9+Deals!$AE$4:$AE$9+Deals!$W$4:$W$9)/12)</f>
        <v/>
      </c>
      <c r="D35" s="34">
        <f>Forecast_PL!D29/12</f>
        <v/>
      </c>
      <c r="E35" s="34">
        <f>C35-D35</f>
        <v/>
      </c>
      <c r="F35" s="34">
        <f>F34+IF(A35=$B$5,$B$4,0)+E35</f>
        <v/>
      </c>
      <c r="G35" s="2" t="inlineStr"/>
    </row>
    <row r="36">
      <c r="A36" s="4" t="n">
        <v>27</v>
      </c>
      <c r="B36" s="4" t="inlineStr">
        <is>
          <t>2028-03</t>
        </is>
      </c>
      <c r="C36" s="33">
        <f>SUMPRODUCT(((27&gt;=((Deals!$N$4:$N$9-2026)*12+Deals!$M$4:$M$9))*(27&lt;((Deals!$N$4:$N$9-2026)*12+Deals!$M$4:$M$9)+12))*Deals!$Q$4:$Q$9/12)+SUMPRODUCT(((27&gt;=((Deals!$N$4:$N$9-2026)*12+Deals!$M$4:$M$9)+12)*(27&lt;((Deals!$N$4:$N$9-2026)*12+Deals!$M$4:$M$9)+24))*(Deals!$AB$4:$AB$9+Deals!$AD$4:$AD$9+Deals!$V$4:$V$9)/12)+SUMPRODUCT(((27&gt;=((Deals!$N$4:$N$9-2026)*12+Deals!$M$4:$M$9)+24)*(27&lt;((Deals!$N$4:$N$9-2026)*12+Deals!$M$4:$M$9)+36))*(Deals!$AC$4:$AC$9+Deals!$AE$4:$AE$9+Deals!$W$4:$W$9)/12)</f>
        <v/>
      </c>
      <c r="D36" s="34">
        <f>Forecast_PL!D29/12</f>
        <v/>
      </c>
      <c r="E36" s="34">
        <f>C36-D36</f>
        <v/>
      </c>
      <c r="F36" s="34">
        <f>F35+IF(A36=$B$5,$B$4,0)+E36</f>
        <v/>
      </c>
      <c r="G36" s="2" t="inlineStr"/>
    </row>
    <row r="37">
      <c r="A37" s="4" t="n">
        <v>28</v>
      </c>
      <c r="B37" s="4" t="inlineStr">
        <is>
          <t>2028-04</t>
        </is>
      </c>
      <c r="C37" s="33">
        <f>SUMPRODUCT(((28&gt;=((Deals!$N$4:$N$9-2026)*12+Deals!$M$4:$M$9))*(28&lt;((Deals!$N$4:$N$9-2026)*12+Deals!$M$4:$M$9)+12))*Deals!$Q$4:$Q$9/12)+SUMPRODUCT(((28&gt;=((Deals!$N$4:$N$9-2026)*12+Deals!$M$4:$M$9)+12)*(28&lt;((Deals!$N$4:$N$9-2026)*12+Deals!$M$4:$M$9)+24))*(Deals!$AB$4:$AB$9+Deals!$AD$4:$AD$9+Deals!$V$4:$V$9)/12)+SUMPRODUCT(((28&gt;=((Deals!$N$4:$N$9-2026)*12+Deals!$M$4:$M$9)+24)*(28&lt;((Deals!$N$4:$N$9-2026)*12+Deals!$M$4:$M$9)+36))*(Deals!$AC$4:$AC$9+Deals!$AE$4:$AE$9+Deals!$W$4:$W$9)/12)</f>
        <v/>
      </c>
      <c r="D37" s="34">
        <f>Forecast_PL!D29/12</f>
        <v/>
      </c>
      <c r="E37" s="34">
        <f>C37-D37</f>
        <v/>
      </c>
      <c r="F37" s="34">
        <f>F36+IF(A37=$B$5,$B$4,0)+E37</f>
        <v/>
      </c>
      <c r="G37" s="2" t="inlineStr"/>
    </row>
    <row r="38">
      <c r="A38" s="4" t="n">
        <v>29</v>
      </c>
      <c r="B38" s="4" t="inlineStr">
        <is>
          <t>2028-05</t>
        </is>
      </c>
      <c r="C38" s="33">
        <f>SUMPRODUCT(((29&gt;=((Deals!$N$4:$N$9-2026)*12+Deals!$M$4:$M$9))*(29&lt;((Deals!$N$4:$N$9-2026)*12+Deals!$M$4:$M$9)+12))*Deals!$Q$4:$Q$9/12)+SUMPRODUCT(((29&gt;=((Deals!$N$4:$N$9-2026)*12+Deals!$M$4:$M$9)+12)*(29&lt;((Deals!$N$4:$N$9-2026)*12+Deals!$M$4:$M$9)+24))*(Deals!$AB$4:$AB$9+Deals!$AD$4:$AD$9+Deals!$V$4:$V$9)/12)+SUMPRODUCT(((29&gt;=((Deals!$N$4:$N$9-2026)*12+Deals!$M$4:$M$9)+24)*(29&lt;((Deals!$N$4:$N$9-2026)*12+Deals!$M$4:$M$9)+36))*(Deals!$AC$4:$AC$9+Deals!$AE$4:$AE$9+Deals!$W$4:$W$9)/12)</f>
        <v/>
      </c>
      <c r="D38" s="34">
        <f>Forecast_PL!D29/12</f>
        <v/>
      </c>
      <c r="E38" s="34">
        <f>C38-D38</f>
        <v/>
      </c>
      <c r="F38" s="34">
        <f>F37+IF(A38=$B$5,$B$4,0)+E38</f>
        <v/>
      </c>
      <c r="G38" s="2" t="inlineStr"/>
    </row>
    <row r="39">
      <c r="A39" s="4" t="n">
        <v>30</v>
      </c>
      <c r="B39" s="4" t="inlineStr">
        <is>
          <t>2028-06</t>
        </is>
      </c>
      <c r="C39" s="33">
        <f>SUMPRODUCT(((30&gt;=((Deals!$N$4:$N$9-2026)*12+Deals!$M$4:$M$9))*(30&lt;((Deals!$N$4:$N$9-2026)*12+Deals!$M$4:$M$9)+12))*Deals!$Q$4:$Q$9/12)+SUMPRODUCT(((30&gt;=((Deals!$N$4:$N$9-2026)*12+Deals!$M$4:$M$9)+12)*(30&lt;((Deals!$N$4:$N$9-2026)*12+Deals!$M$4:$M$9)+24))*(Deals!$AB$4:$AB$9+Deals!$AD$4:$AD$9+Deals!$V$4:$V$9)/12)+SUMPRODUCT(((30&gt;=((Deals!$N$4:$N$9-2026)*12+Deals!$M$4:$M$9)+24)*(30&lt;((Deals!$N$4:$N$9-2026)*12+Deals!$M$4:$M$9)+36))*(Deals!$AC$4:$AC$9+Deals!$AE$4:$AE$9+Deals!$W$4:$W$9)/12)</f>
        <v/>
      </c>
      <c r="D39" s="34">
        <f>Forecast_PL!D29/12</f>
        <v/>
      </c>
      <c r="E39" s="34">
        <f>C39-D39</f>
        <v/>
      </c>
      <c r="F39" s="34">
        <f>F38+IF(A39=$B$5,$B$4,0)+E39</f>
        <v/>
      </c>
      <c r="G39" s="2" t="inlineStr"/>
    </row>
    <row r="40">
      <c r="A40" s="4" t="n">
        <v>31</v>
      </c>
      <c r="B40" s="4" t="inlineStr">
        <is>
          <t>2028-07</t>
        </is>
      </c>
      <c r="C40" s="33">
        <f>SUMPRODUCT(((31&gt;=((Deals!$N$4:$N$9-2026)*12+Deals!$M$4:$M$9))*(31&lt;((Deals!$N$4:$N$9-2026)*12+Deals!$M$4:$M$9)+12))*Deals!$Q$4:$Q$9/12)+SUMPRODUCT(((31&gt;=((Deals!$N$4:$N$9-2026)*12+Deals!$M$4:$M$9)+12)*(31&lt;((Deals!$N$4:$N$9-2026)*12+Deals!$M$4:$M$9)+24))*(Deals!$AB$4:$AB$9+Deals!$AD$4:$AD$9+Deals!$V$4:$V$9)/12)+SUMPRODUCT(((31&gt;=((Deals!$N$4:$N$9-2026)*12+Deals!$M$4:$M$9)+24)*(31&lt;((Deals!$N$4:$N$9-2026)*12+Deals!$M$4:$M$9)+36))*(Deals!$AC$4:$AC$9+Deals!$AE$4:$AE$9+Deals!$W$4:$W$9)/12)</f>
        <v/>
      </c>
      <c r="D40" s="34">
        <f>Forecast_PL!E29/12</f>
        <v/>
      </c>
      <c r="E40" s="34">
        <f>C40-D40</f>
        <v/>
      </c>
      <c r="F40" s="34">
        <f>F39+IF(A40=$B$5,$B$4,0)+E40</f>
        <v/>
      </c>
      <c r="G40" s="2" t="inlineStr"/>
    </row>
    <row r="41">
      <c r="A41" s="4" t="n">
        <v>32</v>
      </c>
      <c r="B41" s="4" t="inlineStr">
        <is>
          <t>2028-08</t>
        </is>
      </c>
      <c r="C41" s="33">
        <f>SUMPRODUCT(((32&gt;=((Deals!$N$4:$N$9-2026)*12+Deals!$M$4:$M$9))*(32&lt;((Deals!$N$4:$N$9-2026)*12+Deals!$M$4:$M$9)+12))*Deals!$Q$4:$Q$9/12)+SUMPRODUCT(((32&gt;=((Deals!$N$4:$N$9-2026)*12+Deals!$M$4:$M$9)+12)*(32&lt;((Deals!$N$4:$N$9-2026)*12+Deals!$M$4:$M$9)+24))*(Deals!$AB$4:$AB$9+Deals!$AD$4:$AD$9+Deals!$V$4:$V$9)/12)+SUMPRODUCT(((32&gt;=((Deals!$N$4:$N$9-2026)*12+Deals!$M$4:$M$9)+24)*(32&lt;((Deals!$N$4:$N$9-2026)*12+Deals!$M$4:$M$9)+36))*(Deals!$AC$4:$AC$9+Deals!$AE$4:$AE$9+Deals!$W$4:$W$9)/12)</f>
        <v/>
      </c>
      <c r="D41" s="34">
        <f>Forecast_PL!E29/12</f>
        <v/>
      </c>
      <c r="E41" s="34">
        <f>C41-D41</f>
        <v/>
      </c>
      <c r="F41" s="34">
        <f>F40+IF(A41=$B$5,$B$4,0)+E41</f>
        <v/>
      </c>
      <c r="G41" s="2" t="inlineStr"/>
    </row>
    <row r="42">
      <c r="A42" s="4" t="n">
        <v>33</v>
      </c>
      <c r="B42" s="4" t="inlineStr">
        <is>
          <t>2028-09</t>
        </is>
      </c>
      <c r="C42" s="33">
        <f>SUMPRODUCT(((33&gt;=((Deals!$N$4:$N$9-2026)*12+Deals!$M$4:$M$9))*(33&lt;((Deals!$N$4:$N$9-2026)*12+Deals!$M$4:$M$9)+12))*Deals!$Q$4:$Q$9/12)+SUMPRODUCT(((33&gt;=((Deals!$N$4:$N$9-2026)*12+Deals!$M$4:$M$9)+12)*(33&lt;((Deals!$N$4:$N$9-2026)*12+Deals!$M$4:$M$9)+24))*(Deals!$AB$4:$AB$9+Deals!$AD$4:$AD$9+Deals!$V$4:$V$9)/12)+SUMPRODUCT(((33&gt;=((Deals!$N$4:$N$9-2026)*12+Deals!$M$4:$M$9)+24)*(33&lt;((Deals!$N$4:$N$9-2026)*12+Deals!$M$4:$M$9)+36))*(Deals!$AC$4:$AC$9+Deals!$AE$4:$AE$9+Deals!$W$4:$W$9)/12)</f>
        <v/>
      </c>
      <c r="D42" s="34">
        <f>Forecast_PL!E29/12</f>
        <v/>
      </c>
      <c r="E42" s="34">
        <f>C42-D42</f>
        <v/>
      </c>
      <c r="F42" s="34">
        <f>F41+IF(A42=$B$5,$B$4,0)+E42</f>
        <v/>
      </c>
      <c r="G42" s="2" t="inlineStr"/>
    </row>
    <row r="43">
      <c r="A43" s="4" t="n">
        <v>34</v>
      </c>
      <c r="B43" s="4" t="inlineStr">
        <is>
          <t>2028-10</t>
        </is>
      </c>
      <c r="C43" s="33">
        <f>SUMPRODUCT(((34&gt;=((Deals!$N$4:$N$9-2026)*12+Deals!$M$4:$M$9))*(34&lt;((Deals!$N$4:$N$9-2026)*12+Deals!$M$4:$M$9)+12))*Deals!$Q$4:$Q$9/12)+SUMPRODUCT(((34&gt;=((Deals!$N$4:$N$9-2026)*12+Deals!$M$4:$M$9)+12)*(34&lt;((Deals!$N$4:$N$9-2026)*12+Deals!$M$4:$M$9)+24))*(Deals!$AB$4:$AB$9+Deals!$AD$4:$AD$9+Deals!$V$4:$V$9)/12)+SUMPRODUCT(((34&gt;=((Deals!$N$4:$N$9-2026)*12+Deals!$M$4:$M$9)+24)*(34&lt;((Deals!$N$4:$N$9-2026)*12+Deals!$M$4:$M$9)+36))*(Deals!$AC$4:$AC$9+Deals!$AE$4:$AE$9+Deals!$W$4:$W$9)/12)</f>
        <v/>
      </c>
      <c r="D43" s="34">
        <f>Forecast_PL!E29/12</f>
        <v/>
      </c>
      <c r="E43" s="34">
        <f>C43-D43</f>
        <v/>
      </c>
      <c r="F43" s="34">
        <f>F42+IF(A43=$B$5,$B$4,0)+E43</f>
        <v/>
      </c>
      <c r="G43" s="2" t="inlineStr"/>
    </row>
    <row r="44">
      <c r="A44" s="4" t="n">
        <v>35</v>
      </c>
      <c r="B44" s="4" t="inlineStr">
        <is>
          <t>2028-11</t>
        </is>
      </c>
      <c r="C44" s="33">
        <f>SUMPRODUCT(((35&gt;=((Deals!$N$4:$N$9-2026)*12+Deals!$M$4:$M$9))*(35&lt;((Deals!$N$4:$N$9-2026)*12+Deals!$M$4:$M$9)+12))*Deals!$Q$4:$Q$9/12)+SUMPRODUCT(((35&gt;=((Deals!$N$4:$N$9-2026)*12+Deals!$M$4:$M$9)+12)*(35&lt;((Deals!$N$4:$N$9-2026)*12+Deals!$M$4:$M$9)+24))*(Deals!$AB$4:$AB$9+Deals!$AD$4:$AD$9+Deals!$V$4:$V$9)/12)+SUMPRODUCT(((35&gt;=((Deals!$N$4:$N$9-2026)*12+Deals!$M$4:$M$9)+24)*(35&lt;((Deals!$N$4:$N$9-2026)*12+Deals!$M$4:$M$9)+36))*(Deals!$AC$4:$AC$9+Deals!$AE$4:$AE$9+Deals!$W$4:$W$9)/12)</f>
        <v/>
      </c>
      <c r="D44" s="34">
        <f>Forecast_PL!E29/12</f>
        <v/>
      </c>
      <c r="E44" s="34">
        <f>C44-D44</f>
        <v/>
      </c>
      <c r="F44" s="34">
        <f>F43+IF(A44=$B$5,$B$4,0)+E44</f>
        <v/>
      </c>
      <c r="G44" s="2" t="inlineStr"/>
    </row>
    <row r="45">
      <c r="A45" s="4" t="n">
        <v>36</v>
      </c>
      <c r="B45" s="4" t="inlineStr">
        <is>
          <t>2028-12</t>
        </is>
      </c>
      <c r="C45" s="33">
        <f>SUMPRODUCT(((36&gt;=((Deals!$N$4:$N$9-2026)*12+Deals!$M$4:$M$9))*(36&lt;((Deals!$N$4:$N$9-2026)*12+Deals!$M$4:$M$9)+12))*Deals!$Q$4:$Q$9/12)+SUMPRODUCT(((36&gt;=((Deals!$N$4:$N$9-2026)*12+Deals!$M$4:$M$9)+12)*(36&lt;((Deals!$N$4:$N$9-2026)*12+Deals!$M$4:$M$9)+24))*(Deals!$AB$4:$AB$9+Deals!$AD$4:$AD$9+Deals!$V$4:$V$9)/12)+SUMPRODUCT(((36&gt;=((Deals!$N$4:$N$9-2026)*12+Deals!$M$4:$M$9)+24)*(36&lt;((Deals!$N$4:$N$9-2026)*12+Deals!$M$4:$M$9)+36))*(Deals!$AC$4:$AC$9+Deals!$AE$4:$AE$9+Deals!$W$4:$W$9)/12)</f>
        <v/>
      </c>
      <c r="D45" s="34">
        <f>Forecast_PL!E29/12</f>
        <v/>
      </c>
      <c r="E45" s="34">
        <f>C45-D45</f>
        <v/>
      </c>
      <c r="F45" s="34">
        <f>F44+IF(A45=$B$5,$B$4,0)+E45</f>
        <v/>
      </c>
      <c r="G45" s="2" t="inlineStr">
        <is>
          <t>End FY2028 — A$2M ARR / Series A trigger</t>
        </is>
      </c>
    </row>
    <row r="46">
      <c r="A46" s="4" t="n">
        <v>37</v>
      </c>
      <c r="B46" s="4" t="inlineStr">
        <is>
          <t>2029-01</t>
        </is>
      </c>
      <c r="C46" s="33">
        <f>SUMPRODUCT(((37&gt;=((Deals!$N$4:$N$9-2026)*12+Deals!$M$4:$M$9))*(37&lt;((Deals!$N$4:$N$9-2026)*12+Deals!$M$4:$M$9)+12))*Deals!$Q$4:$Q$9/12)+SUMPRODUCT(((37&gt;=((Deals!$N$4:$N$9-2026)*12+Deals!$M$4:$M$9)+12)*(37&lt;((Deals!$N$4:$N$9-2026)*12+Deals!$M$4:$M$9)+24))*(Deals!$AB$4:$AB$9+Deals!$AD$4:$AD$9+Deals!$V$4:$V$9)/12)+SUMPRODUCT(((37&gt;=((Deals!$N$4:$N$9-2026)*12+Deals!$M$4:$M$9)+24)*(37&lt;((Deals!$N$4:$N$9-2026)*12+Deals!$M$4:$M$9)+36))*(Deals!$AC$4:$AC$9+Deals!$AE$4:$AE$9+Deals!$W$4:$W$9)/12)</f>
        <v/>
      </c>
      <c r="D46" s="34">
        <f>Forecast_PL!E29/12</f>
        <v/>
      </c>
      <c r="E46" s="34">
        <f>C46-D46</f>
        <v/>
      </c>
      <c r="F46" s="34">
        <f>F45+IF(A46=$B$5,$B$4,0)+E46</f>
        <v/>
      </c>
      <c r="G46" s="2" t="inlineStr"/>
    </row>
    <row r="47">
      <c r="A47" s="4" t="n">
        <v>38</v>
      </c>
      <c r="B47" s="4" t="inlineStr">
        <is>
          <t>2029-02</t>
        </is>
      </c>
      <c r="C47" s="33">
        <f>SUMPRODUCT(((38&gt;=((Deals!$N$4:$N$9-2026)*12+Deals!$M$4:$M$9))*(38&lt;((Deals!$N$4:$N$9-2026)*12+Deals!$M$4:$M$9)+12))*Deals!$Q$4:$Q$9/12)+SUMPRODUCT(((38&gt;=((Deals!$N$4:$N$9-2026)*12+Deals!$M$4:$M$9)+12)*(38&lt;((Deals!$N$4:$N$9-2026)*12+Deals!$M$4:$M$9)+24))*(Deals!$AB$4:$AB$9+Deals!$AD$4:$AD$9+Deals!$V$4:$V$9)/12)+SUMPRODUCT(((38&gt;=((Deals!$N$4:$N$9-2026)*12+Deals!$M$4:$M$9)+24)*(38&lt;((Deals!$N$4:$N$9-2026)*12+Deals!$M$4:$M$9)+36))*(Deals!$AC$4:$AC$9+Deals!$AE$4:$AE$9+Deals!$W$4:$W$9)/12)</f>
        <v/>
      </c>
      <c r="D47" s="34">
        <f>Forecast_PL!E29/12</f>
        <v/>
      </c>
      <c r="E47" s="34">
        <f>C47-D47</f>
        <v/>
      </c>
      <c r="F47" s="34">
        <f>F46+IF(A47=$B$5,$B$4,0)+E47</f>
        <v/>
      </c>
      <c r="G47" s="2" t="inlineStr"/>
    </row>
    <row r="48">
      <c r="A48" s="4" t="n">
        <v>39</v>
      </c>
      <c r="B48" s="4" t="inlineStr">
        <is>
          <t>2029-03</t>
        </is>
      </c>
      <c r="C48" s="33">
        <f>SUMPRODUCT(((39&gt;=((Deals!$N$4:$N$9-2026)*12+Deals!$M$4:$M$9))*(39&lt;((Deals!$N$4:$N$9-2026)*12+Deals!$M$4:$M$9)+12))*Deals!$Q$4:$Q$9/12)+SUMPRODUCT(((39&gt;=((Deals!$N$4:$N$9-2026)*12+Deals!$M$4:$M$9)+12)*(39&lt;((Deals!$N$4:$N$9-2026)*12+Deals!$M$4:$M$9)+24))*(Deals!$AB$4:$AB$9+Deals!$AD$4:$AD$9+Deals!$V$4:$V$9)/12)+SUMPRODUCT(((39&gt;=((Deals!$N$4:$N$9-2026)*12+Deals!$M$4:$M$9)+24)*(39&lt;((Deals!$N$4:$N$9-2026)*12+Deals!$M$4:$M$9)+36))*(Deals!$AC$4:$AC$9+Deals!$AE$4:$AE$9+Deals!$W$4:$W$9)/12)</f>
        <v/>
      </c>
      <c r="D48" s="34">
        <f>Forecast_PL!E29/12</f>
        <v/>
      </c>
      <c r="E48" s="34">
        <f>C48-D48</f>
        <v/>
      </c>
      <c r="F48" s="34">
        <f>F47+IF(A48=$B$5,$B$4,0)+E48</f>
        <v/>
      </c>
      <c r="G48" s="2" t="inlineStr"/>
    </row>
    <row r="49">
      <c r="A49" s="4" t="n">
        <v>40</v>
      </c>
      <c r="B49" s="4" t="inlineStr">
        <is>
          <t>2029-04</t>
        </is>
      </c>
      <c r="C49" s="33">
        <f>SUMPRODUCT(((40&gt;=((Deals!$N$4:$N$9-2026)*12+Deals!$M$4:$M$9))*(40&lt;((Deals!$N$4:$N$9-2026)*12+Deals!$M$4:$M$9)+12))*Deals!$Q$4:$Q$9/12)+SUMPRODUCT(((40&gt;=((Deals!$N$4:$N$9-2026)*12+Deals!$M$4:$M$9)+12)*(40&lt;((Deals!$N$4:$N$9-2026)*12+Deals!$M$4:$M$9)+24))*(Deals!$AB$4:$AB$9+Deals!$AD$4:$AD$9+Deals!$V$4:$V$9)/12)+SUMPRODUCT(((40&gt;=((Deals!$N$4:$N$9-2026)*12+Deals!$M$4:$M$9)+24)*(40&lt;((Deals!$N$4:$N$9-2026)*12+Deals!$M$4:$M$9)+36))*(Deals!$AC$4:$AC$9+Deals!$AE$4:$AE$9+Deals!$W$4:$W$9)/12)</f>
        <v/>
      </c>
      <c r="D49" s="34">
        <f>Forecast_PL!E29/12</f>
        <v/>
      </c>
      <c r="E49" s="34">
        <f>C49-D49</f>
        <v/>
      </c>
      <c r="F49" s="34">
        <f>F48+IF(A49=$B$5,$B$4,0)+E49</f>
        <v/>
      </c>
      <c r="G49" s="2" t="inlineStr"/>
    </row>
    <row r="50">
      <c r="A50" s="4" t="n">
        <v>41</v>
      </c>
      <c r="B50" s="4" t="inlineStr">
        <is>
          <t>2029-05</t>
        </is>
      </c>
      <c r="C50" s="33">
        <f>SUMPRODUCT(((41&gt;=((Deals!$N$4:$N$9-2026)*12+Deals!$M$4:$M$9))*(41&lt;((Deals!$N$4:$N$9-2026)*12+Deals!$M$4:$M$9)+12))*Deals!$Q$4:$Q$9/12)+SUMPRODUCT(((41&gt;=((Deals!$N$4:$N$9-2026)*12+Deals!$M$4:$M$9)+12)*(41&lt;((Deals!$N$4:$N$9-2026)*12+Deals!$M$4:$M$9)+24))*(Deals!$AB$4:$AB$9+Deals!$AD$4:$AD$9+Deals!$V$4:$V$9)/12)+SUMPRODUCT(((41&gt;=((Deals!$N$4:$N$9-2026)*12+Deals!$M$4:$M$9)+24)*(41&lt;((Deals!$N$4:$N$9-2026)*12+Deals!$M$4:$M$9)+36))*(Deals!$AC$4:$AC$9+Deals!$AE$4:$AE$9+Deals!$W$4:$W$9)/12)</f>
        <v/>
      </c>
      <c r="D50" s="34">
        <f>Forecast_PL!E29/12</f>
        <v/>
      </c>
      <c r="E50" s="34">
        <f>C50-D50</f>
        <v/>
      </c>
      <c r="F50" s="34">
        <f>F49+IF(A50=$B$5,$B$4,0)+E50</f>
        <v/>
      </c>
      <c r="G50" s="2" t="inlineStr"/>
    </row>
    <row r="51">
      <c r="A51" s="4" t="n">
        <v>42</v>
      </c>
      <c r="B51" s="4" t="inlineStr">
        <is>
          <t>2029-06</t>
        </is>
      </c>
      <c r="C51" s="33">
        <f>SUMPRODUCT(((42&gt;=((Deals!$N$4:$N$9-2026)*12+Deals!$M$4:$M$9))*(42&lt;((Deals!$N$4:$N$9-2026)*12+Deals!$M$4:$M$9)+12))*Deals!$Q$4:$Q$9/12)+SUMPRODUCT(((42&gt;=((Deals!$N$4:$N$9-2026)*12+Deals!$M$4:$M$9)+12)*(42&lt;((Deals!$N$4:$N$9-2026)*12+Deals!$M$4:$M$9)+24))*(Deals!$AB$4:$AB$9+Deals!$AD$4:$AD$9+Deals!$V$4:$V$9)/12)+SUMPRODUCT(((42&gt;=((Deals!$N$4:$N$9-2026)*12+Deals!$M$4:$M$9)+24)*(42&lt;((Deals!$N$4:$N$9-2026)*12+Deals!$M$4:$M$9)+36))*(Deals!$AC$4:$AC$9+Deals!$AE$4:$AE$9+Deals!$W$4:$W$9)/12)</f>
        <v/>
      </c>
      <c r="D51" s="34">
        <f>Forecast_PL!E29/12</f>
        <v/>
      </c>
      <c r="E51" s="34">
        <f>C51-D51</f>
        <v/>
      </c>
      <c r="F51" s="34">
        <f>F50+IF(A51=$B$5,$B$4,0)+E51</f>
        <v/>
      </c>
      <c r="G51" s="2" t="inlineStr"/>
    </row>
    <row r="52">
      <c r="A52" s="4" t="n">
        <v>43</v>
      </c>
      <c r="B52" s="4" t="inlineStr">
        <is>
          <t>2029-07</t>
        </is>
      </c>
      <c r="C52" s="33">
        <f>SUMPRODUCT(((43&gt;=((Deals!$N$4:$N$9-2026)*12+Deals!$M$4:$M$9))*(43&lt;((Deals!$N$4:$N$9-2026)*12+Deals!$M$4:$M$9)+12))*Deals!$Q$4:$Q$9/12)+SUMPRODUCT(((43&gt;=((Deals!$N$4:$N$9-2026)*12+Deals!$M$4:$M$9)+12)*(43&lt;((Deals!$N$4:$N$9-2026)*12+Deals!$M$4:$M$9)+24))*(Deals!$AB$4:$AB$9+Deals!$AD$4:$AD$9+Deals!$V$4:$V$9)/12)+SUMPRODUCT(((43&gt;=((Deals!$N$4:$N$9-2026)*12+Deals!$M$4:$M$9)+24)*(43&lt;((Deals!$N$4:$N$9-2026)*12+Deals!$M$4:$M$9)+36))*(Deals!$AC$4:$AC$9+Deals!$AE$4:$AE$9+Deals!$W$4:$W$9)/12)</f>
        <v/>
      </c>
      <c r="D52" s="34">
        <f>Forecast_PL!E29/12</f>
        <v/>
      </c>
      <c r="E52" s="34">
        <f>C52-D52</f>
        <v/>
      </c>
      <c r="F52" s="34">
        <f>F51+IF(A52=$B$5,$B$4,0)+E52</f>
        <v/>
      </c>
      <c r="G52" s="2" t="inlineStr"/>
    </row>
    <row r="53">
      <c r="A53" s="4" t="n">
        <v>44</v>
      </c>
      <c r="B53" s="4" t="inlineStr">
        <is>
          <t>2029-08</t>
        </is>
      </c>
      <c r="C53" s="33">
        <f>SUMPRODUCT(((44&gt;=((Deals!$N$4:$N$9-2026)*12+Deals!$M$4:$M$9))*(44&lt;((Deals!$N$4:$N$9-2026)*12+Deals!$M$4:$M$9)+12))*Deals!$Q$4:$Q$9/12)+SUMPRODUCT(((44&gt;=((Deals!$N$4:$N$9-2026)*12+Deals!$M$4:$M$9)+12)*(44&lt;((Deals!$N$4:$N$9-2026)*12+Deals!$M$4:$M$9)+24))*(Deals!$AB$4:$AB$9+Deals!$AD$4:$AD$9+Deals!$V$4:$V$9)/12)+SUMPRODUCT(((44&gt;=((Deals!$N$4:$N$9-2026)*12+Deals!$M$4:$M$9)+24)*(44&lt;((Deals!$N$4:$N$9-2026)*12+Deals!$M$4:$M$9)+36))*(Deals!$AC$4:$AC$9+Deals!$AE$4:$AE$9+Deals!$W$4:$W$9)/12)</f>
        <v/>
      </c>
      <c r="D53" s="34">
        <f>Forecast_PL!E29/12</f>
        <v/>
      </c>
      <c r="E53" s="34">
        <f>C53-D53</f>
        <v/>
      </c>
      <c r="F53" s="34">
        <f>F52+IF(A53=$B$5,$B$4,0)+E53</f>
        <v/>
      </c>
      <c r="G53" s="2" t="inlineStr"/>
    </row>
    <row r="54">
      <c r="A54" s="4" t="n">
        <v>45</v>
      </c>
      <c r="B54" s="4" t="inlineStr">
        <is>
          <t>2029-09</t>
        </is>
      </c>
      <c r="C54" s="33">
        <f>SUMPRODUCT(((45&gt;=((Deals!$N$4:$N$9-2026)*12+Deals!$M$4:$M$9))*(45&lt;((Deals!$N$4:$N$9-2026)*12+Deals!$M$4:$M$9)+12))*Deals!$Q$4:$Q$9/12)+SUMPRODUCT(((45&gt;=((Deals!$N$4:$N$9-2026)*12+Deals!$M$4:$M$9)+12)*(45&lt;((Deals!$N$4:$N$9-2026)*12+Deals!$M$4:$M$9)+24))*(Deals!$AB$4:$AB$9+Deals!$AD$4:$AD$9+Deals!$V$4:$V$9)/12)+SUMPRODUCT(((45&gt;=((Deals!$N$4:$N$9-2026)*12+Deals!$M$4:$M$9)+24)*(45&lt;((Deals!$N$4:$N$9-2026)*12+Deals!$M$4:$M$9)+36))*(Deals!$AC$4:$AC$9+Deals!$AE$4:$AE$9+Deals!$W$4:$W$9)/12)</f>
        <v/>
      </c>
      <c r="D54" s="34">
        <f>Forecast_PL!E29/12</f>
        <v/>
      </c>
      <c r="E54" s="34">
        <f>C54-D54</f>
        <v/>
      </c>
      <c r="F54" s="34">
        <f>F53+IF(A54=$B$5,$B$4,0)+E54</f>
        <v/>
      </c>
      <c r="G54" s="2" t="inlineStr"/>
    </row>
    <row r="55">
      <c r="A55" s="4" t="n">
        <v>46</v>
      </c>
      <c r="B55" s="4" t="inlineStr">
        <is>
          <t>2029-10</t>
        </is>
      </c>
      <c r="C55" s="33">
        <f>SUMPRODUCT(((46&gt;=((Deals!$N$4:$N$9-2026)*12+Deals!$M$4:$M$9))*(46&lt;((Deals!$N$4:$N$9-2026)*12+Deals!$M$4:$M$9)+12))*Deals!$Q$4:$Q$9/12)+SUMPRODUCT(((46&gt;=((Deals!$N$4:$N$9-2026)*12+Deals!$M$4:$M$9)+12)*(46&lt;((Deals!$N$4:$N$9-2026)*12+Deals!$M$4:$M$9)+24))*(Deals!$AB$4:$AB$9+Deals!$AD$4:$AD$9+Deals!$V$4:$V$9)/12)+SUMPRODUCT(((46&gt;=((Deals!$N$4:$N$9-2026)*12+Deals!$M$4:$M$9)+24)*(46&lt;((Deals!$N$4:$N$9-2026)*12+Deals!$M$4:$M$9)+36))*(Deals!$AC$4:$AC$9+Deals!$AE$4:$AE$9+Deals!$W$4:$W$9)/12)</f>
        <v/>
      </c>
      <c r="D55" s="34">
        <f>Forecast_PL!E29/12</f>
        <v/>
      </c>
      <c r="E55" s="34">
        <f>C55-D55</f>
        <v/>
      </c>
      <c r="F55" s="34">
        <f>F54+IF(A55=$B$5,$B$4,0)+E55</f>
        <v/>
      </c>
      <c r="G55" s="2" t="inlineStr"/>
    </row>
    <row r="56">
      <c r="A56" s="4" t="n">
        <v>47</v>
      </c>
      <c r="B56" s="4" t="inlineStr">
        <is>
          <t>2029-11</t>
        </is>
      </c>
      <c r="C56" s="33">
        <f>SUMPRODUCT(((47&gt;=((Deals!$N$4:$N$9-2026)*12+Deals!$M$4:$M$9))*(47&lt;((Deals!$N$4:$N$9-2026)*12+Deals!$M$4:$M$9)+12))*Deals!$Q$4:$Q$9/12)+SUMPRODUCT(((47&gt;=((Deals!$N$4:$N$9-2026)*12+Deals!$M$4:$M$9)+12)*(47&lt;((Deals!$N$4:$N$9-2026)*12+Deals!$M$4:$M$9)+24))*(Deals!$AB$4:$AB$9+Deals!$AD$4:$AD$9+Deals!$V$4:$V$9)/12)+SUMPRODUCT(((47&gt;=((Deals!$N$4:$N$9-2026)*12+Deals!$M$4:$M$9)+24)*(47&lt;((Deals!$N$4:$N$9-2026)*12+Deals!$M$4:$M$9)+36))*(Deals!$AC$4:$AC$9+Deals!$AE$4:$AE$9+Deals!$W$4:$W$9)/12)</f>
        <v/>
      </c>
      <c r="D56" s="34">
        <f>Forecast_PL!E29/12</f>
        <v/>
      </c>
      <c r="E56" s="34">
        <f>C56-D56</f>
        <v/>
      </c>
      <c r="F56" s="34">
        <f>F55+IF(A56=$B$5,$B$4,0)+E56</f>
        <v/>
      </c>
      <c r="G56" s="2" t="inlineStr"/>
    </row>
    <row r="57">
      <c r="A57" s="4" t="n">
        <v>48</v>
      </c>
      <c r="B57" s="4" t="inlineStr">
        <is>
          <t>2029-12</t>
        </is>
      </c>
      <c r="C57" s="33">
        <f>SUMPRODUCT(((48&gt;=((Deals!$N$4:$N$9-2026)*12+Deals!$M$4:$M$9))*(48&lt;((Deals!$N$4:$N$9-2026)*12+Deals!$M$4:$M$9)+12))*Deals!$Q$4:$Q$9/12)+SUMPRODUCT(((48&gt;=((Deals!$N$4:$N$9-2026)*12+Deals!$M$4:$M$9)+12)*(48&lt;((Deals!$N$4:$N$9-2026)*12+Deals!$M$4:$M$9)+24))*(Deals!$AB$4:$AB$9+Deals!$AD$4:$AD$9+Deals!$V$4:$V$9)/12)+SUMPRODUCT(((48&gt;=((Deals!$N$4:$N$9-2026)*12+Deals!$M$4:$M$9)+24)*(48&lt;((Deals!$N$4:$N$9-2026)*12+Deals!$M$4:$M$9)+36))*(Deals!$AC$4:$AC$9+Deals!$AE$4:$AE$9+Deals!$W$4:$W$9)/12)</f>
        <v/>
      </c>
      <c r="D57" s="34">
        <f>Forecast_PL!E29/12</f>
        <v/>
      </c>
      <c r="E57" s="34">
        <f>C57-D57</f>
        <v/>
      </c>
      <c r="F57" s="34">
        <f>F56+IF(A57=$B$5,$B$4,0)+E57</f>
        <v/>
      </c>
      <c r="G57" s="2" t="inlineStr"/>
    </row>
    <row r="60">
      <c r="A60" s="57" t="inlineStr">
        <is>
          <t>SUMMARY (AU Jul-Jun fiscal year)</t>
        </is>
      </c>
    </row>
    <row r="61">
      <c r="A61" s="3" t="inlineStr">
        <is>
          <t>Lowest cash balance (over period)</t>
        </is>
      </c>
      <c r="B61" s="34">
        <f>MIN(F10:F57)</f>
        <v/>
      </c>
    </row>
    <row r="63">
      <c r="A63" s="3" t="inlineStr">
        <is>
          <t>FY26 partial (Jan-Jun 2026) revenue</t>
        </is>
      </c>
      <c r="B63" s="34">
        <f>SUM(C10:C15)</f>
        <v/>
      </c>
    </row>
    <row r="64">
      <c r="A64" s="3" t="inlineStr">
        <is>
          <t>FY26 partial OpEx</t>
        </is>
      </c>
      <c r="B64" s="34">
        <f>SUM(D10:D15)</f>
        <v/>
      </c>
    </row>
    <row r="65">
      <c r="A65" s="3" t="inlineStr">
        <is>
          <t>FY26 partial net cash flow</t>
        </is>
      </c>
      <c r="B65" s="34">
        <f>SUM(E10:E15)</f>
        <v/>
      </c>
    </row>
    <row r="66">
      <c r="A66" s="3" t="inlineStr">
        <is>
          <t>Cash bal end FY26 (Jun 2026)</t>
        </is>
      </c>
      <c r="B66" s="34">
        <f>F15</f>
        <v/>
      </c>
    </row>
    <row r="68">
      <c r="A68" s="3" t="inlineStr">
        <is>
          <t>FY27 (Jul 26 - Jun 27) revenue</t>
        </is>
      </c>
      <c r="B68" s="34">
        <f>SUM(C16:C27)</f>
        <v/>
      </c>
    </row>
    <row r="69">
      <c r="A69" s="3" t="inlineStr">
        <is>
          <t>FY27 OpEx</t>
        </is>
      </c>
      <c r="B69" s="34">
        <f>SUM(D16:D27)</f>
        <v/>
      </c>
    </row>
    <row r="70">
      <c r="A70" s="3" t="inlineStr">
        <is>
          <t>FY27 net cash flow</t>
        </is>
      </c>
      <c r="B70" s="34">
        <f>SUM(E16:E27)</f>
        <v/>
      </c>
    </row>
    <row r="71">
      <c r="A71" s="3" t="inlineStr">
        <is>
          <t>Cash bal end FY27 (Jun 2027)</t>
        </is>
      </c>
      <c r="B71" s="34">
        <f>F27</f>
        <v/>
      </c>
    </row>
    <row r="73">
      <c r="A73" s="3" t="inlineStr">
        <is>
          <t>FY28 (Jul 27 - Jun 28) revenue</t>
        </is>
      </c>
      <c r="B73" s="34">
        <f>SUM(C28:C39)</f>
        <v/>
      </c>
    </row>
    <row r="74">
      <c r="A74" s="3" t="inlineStr">
        <is>
          <t>FY28 OpEx</t>
        </is>
      </c>
      <c r="B74" s="34">
        <f>SUM(D28:D39)</f>
        <v/>
      </c>
    </row>
    <row r="75">
      <c r="A75" s="3" t="inlineStr">
        <is>
          <t>FY28 net cash flow</t>
        </is>
      </c>
      <c r="B75" s="34">
        <f>SUM(E28:E39)</f>
        <v/>
      </c>
    </row>
    <row r="76">
      <c r="A76" s="3" t="inlineStr">
        <is>
          <t>Cash bal end FY28 (Jun 2028)</t>
        </is>
      </c>
      <c r="B76" s="34">
        <f>F39</f>
        <v/>
      </c>
    </row>
    <row r="78">
      <c r="A78" s="3" t="inlineStr">
        <is>
          <t>FY29 (Jul 28 - Jun 29) revenue</t>
        </is>
      </c>
      <c r="B78" s="34">
        <f>SUM(C40:C51)</f>
        <v/>
      </c>
    </row>
    <row r="79">
      <c r="A79" s="3" t="inlineStr">
        <is>
          <t>FY29 OpEx</t>
        </is>
      </c>
      <c r="B79" s="34">
        <f>SUM(D40:D51)</f>
        <v/>
      </c>
    </row>
    <row r="80">
      <c r="A80" s="3" t="inlineStr">
        <is>
          <t>FY29 net cash flow</t>
        </is>
      </c>
      <c r="B80" s="34">
        <f>SUM(E40:E51)</f>
        <v/>
      </c>
    </row>
    <row r="81">
      <c r="A81" s="3" t="inlineStr">
        <is>
          <t>Cash bal end FY29 (Jun 2029)</t>
        </is>
      </c>
      <c r="B81" s="34">
        <f>F51</f>
        <v/>
      </c>
    </row>
    <row r="83">
      <c r="A83" s="3" t="inlineStr">
        <is>
          <t>Total revenue 3 FY (FY27-FY29)</t>
        </is>
      </c>
      <c r="B83" s="34">
        <f>SUM(C16:C51)</f>
        <v/>
      </c>
    </row>
    <row r="84">
      <c r="A84" s="3" t="inlineStr">
        <is>
          <t>Total OpEx 3 FY (FY27-FY29)</t>
        </is>
      </c>
      <c r="B84" s="34">
        <f>SUM(D16:D51)</f>
        <v/>
      </c>
    </row>
    <row r="85">
      <c r="A85" s="3" t="inlineStr">
        <is>
          <t>Net 3 FY operating cash flow</t>
        </is>
      </c>
      <c r="B85" s="34">
        <f>SUM(E16:E51)</f>
        <v/>
      </c>
    </row>
    <row r="86">
      <c r="A86" s="3" t="inlineStr">
        <is>
          <t>Months in cash deficit (count)</t>
        </is>
      </c>
      <c r="B86" s="58">
        <f>COUNTIF(F10:F57,"&lt;0")</f>
        <v/>
      </c>
    </row>
    <row r="89">
      <c r="A89" s="57" t="inlineStr">
        <is>
          <t>SEED SLIP SENSITIVITY</t>
        </is>
      </c>
    </row>
    <row r="90">
      <c r="A90" s="13" t="inlineStr">
        <is>
          <t>Seed close month</t>
        </is>
      </c>
      <c r="B90" s="13" t="inlineStr">
        <is>
          <t>Lowest cash bal</t>
        </is>
      </c>
      <c r="C90" s="13" t="inlineStr">
        <is>
          <t>Bridge needed</t>
        </is>
      </c>
      <c r="D90" s="13" t="inlineStr">
        <is>
          <t>Comment</t>
        </is>
      </c>
    </row>
    <row r="91">
      <c r="A91" s="3" t="inlineStr">
        <is>
          <t>Month 8</t>
        </is>
      </c>
      <c r="B91" s="34">
        <f>MIN(F10:F57)</f>
        <v/>
      </c>
      <c r="C91" s="34">
        <f>MAX(0,-B91)</f>
        <v/>
      </c>
      <c r="D91" s="2" t="inlineStr">
        <is>
          <t>Aug 2026 (current target)</t>
        </is>
      </c>
    </row>
    <row r="92">
      <c r="A92" s="3" t="inlineStr">
        <is>
          <t>Month 9</t>
        </is>
      </c>
      <c r="B92" s="34">
        <f>MIN(MIN(F10:F57),MIN(F17:F17)-$B$4)</f>
        <v/>
      </c>
      <c r="C92" s="34">
        <f>MAX(0,-B92)</f>
        <v/>
      </c>
      <c r="D92" s="2" t="inlineStr">
        <is>
          <t>Sep 2026 (+1 month slip)</t>
        </is>
      </c>
    </row>
    <row r="93">
      <c r="A93" s="3" t="inlineStr">
        <is>
          <t>Month 10</t>
        </is>
      </c>
      <c r="B93" s="34">
        <f>MIN(MIN(F10:F57),MIN(F17:F18)-$B$4)</f>
        <v/>
      </c>
      <c r="C93" s="34">
        <f>MAX(0,-B93)</f>
        <v/>
      </c>
      <c r="D93" s="2" t="inlineStr">
        <is>
          <t>Oct 2026 (+2 month slip)</t>
        </is>
      </c>
    </row>
    <row r="94">
      <c r="A94" s="3" t="inlineStr">
        <is>
          <t>Month 11</t>
        </is>
      </c>
      <c r="B94" s="34">
        <f>MIN(MIN(F10:F57),MIN(F17:F19)-$B$4)</f>
        <v/>
      </c>
      <c r="C94" s="34">
        <f>MAX(0,-B94)</f>
        <v/>
      </c>
      <c r="D94" s="2" t="inlineStr">
        <is>
          <t>Nov 2026 (+3 month slip)</t>
        </is>
      </c>
    </row>
    <row r="95">
      <c r="A95" s="3" t="inlineStr">
        <is>
          <t>Month 12</t>
        </is>
      </c>
      <c r="B95" s="34">
        <f>MIN(MIN(F10:F57),MIN(F17:F20)-$B$4)</f>
        <v/>
      </c>
      <c r="C95" s="34">
        <f>MAX(0,-B95)</f>
        <v/>
      </c>
      <c r="D95" s="2" t="inlineStr">
        <is>
          <t>Dec 2026 (+4 month slip)</t>
        </is>
      </c>
    </row>
  </sheetData>
  <dataValidations count="1">
    <dataValidation sqref="B6" showDropDown="0" showInputMessage="0" showErrorMessage="0" allowBlank="0" type="list">
      <formula1>"unweighted,stage-weighted,pipeline-discounted"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35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</cols>
  <sheetData>
    <row r="1">
      <c r="A1" s="1" t="inlineStr">
        <is>
          <t>Global parameters</t>
        </is>
      </c>
    </row>
    <row r="2">
      <c r="A2" s="2" t="inlineStr">
        <is>
          <t>Edit blue cells. Drives Calculator, Deals, Forecast and Contract_Schedule.</t>
        </is>
      </c>
    </row>
    <row r="4">
      <c r="A4" s="5" t="inlineStr">
        <is>
          <t>Economics</t>
        </is>
      </c>
    </row>
    <row r="5">
      <c r="A5" s="3" t="inlineStr">
        <is>
          <t>commission_split_ta_pct</t>
        </is>
      </c>
      <c r="B5" s="6" t="n">
        <v>0.5</v>
      </c>
      <c r="C5" s="2" t="inlineStr">
        <is>
          <t>TA share of category and insurance commission. Client gets 1 - this.</t>
        </is>
      </c>
    </row>
    <row r="6">
      <c r="A6" s="3" t="inlineStr">
        <is>
          <t>category_commission_rate_default</t>
        </is>
      </c>
      <c r="B6" s="6" t="n">
        <v>0.08</v>
      </c>
      <c r="C6" s="2" t="inlineStr">
        <is>
          <t>Default category commission rate (% of booking value).</t>
        </is>
      </c>
    </row>
    <row r="7">
      <c r="A7" s="3" t="inlineStr">
        <is>
          <t>insurance_attach_rate_default</t>
        </is>
      </c>
      <c r="B7" s="6" t="n">
        <v>0.3</v>
      </c>
      <c r="C7" s="2" t="inlineStr">
        <is>
          <t>Default insurance attach rate (% of bookings).</t>
        </is>
      </c>
    </row>
    <row r="8">
      <c r="A8" s="3" t="inlineStr">
        <is>
          <t>insurance_commission_per_policy_default</t>
        </is>
      </c>
      <c r="B8" s="7" t="n">
        <v>6</v>
      </c>
      <c r="C8" s="2" t="inlineStr">
        <is>
          <t>Default insurance commission per attached policy.</t>
        </is>
      </c>
    </row>
    <row r="9">
      <c r="A9" s="3" t="inlineStr">
        <is>
          <t>ta_cac_per_member_default</t>
        </is>
      </c>
      <c r="B9" s="7" t="n">
        <v>0.5</v>
      </c>
      <c r="C9" s="2" t="inlineStr">
        <is>
          <t>Default CAC per member (yr1 only).</t>
        </is>
      </c>
    </row>
    <row r="10">
      <c r="A10" s="3" t="inlineStr">
        <is>
          <t>ta_cost_to_serve_per_member_default</t>
        </is>
      </c>
      <c r="B10" s="7" t="n">
        <v>1</v>
      </c>
      <c r="C10" s="2" t="inlineStr">
        <is>
          <t>Default cost-to-serve per member per year.</t>
        </is>
      </c>
    </row>
    <row r="11">
      <c r="A11" s="3" t="inlineStr">
        <is>
          <t>pipeline_discount_pct</t>
        </is>
      </c>
      <c r="B11" s="6" t="n">
        <v>0.5</v>
      </c>
      <c r="C11" s="2" t="inlineStr">
        <is>
          <t>Global discount applied to unweighted pipeline. Use to model overall close-rate confidence (e.g. 50% = take half the pipeline as a portfolio expected value).</t>
        </is>
      </c>
    </row>
    <row r="13">
      <c r="A13" s="5" t="inlineStr">
        <is>
          <t>FX rates (base = GBP)</t>
        </is>
      </c>
    </row>
    <row r="14">
      <c r="A14" s="3" t="inlineStr">
        <is>
          <t>fx_gbp_aud</t>
        </is>
      </c>
      <c r="B14" s="8" t="n">
        <v>1.92</v>
      </c>
      <c r="C14" s="2" t="inlineStr">
        <is>
          <t>GBP -&gt; AUD</t>
        </is>
      </c>
    </row>
    <row r="15">
      <c r="A15" s="3" t="inlineStr">
        <is>
          <t>fx_gbp_usd</t>
        </is>
      </c>
      <c r="B15" s="8" t="n">
        <v>1.27</v>
      </c>
      <c r="C15" s="2" t="inlineStr">
        <is>
          <t>GBP -&gt; USD</t>
        </is>
      </c>
    </row>
    <row r="17">
      <c r="A17" s="5" t="inlineStr">
        <is>
          <t>HubSpot stage -&gt; probability</t>
        </is>
      </c>
    </row>
    <row r="18">
      <c r="A18" s="3" t="inlineStr">
        <is>
          <t>Discovery</t>
        </is>
      </c>
      <c r="B18" s="6" t="n">
        <v>0.2</v>
      </c>
      <c r="C18" s="2" t="inlineStr">
        <is>
          <t>Initial qualification.</t>
        </is>
      </c>
    </row>
    <row r="19">
      <c r="A19" s="3" t="inlineStr">
        <is>
          <t>Proposal</t>
        </is>
      </c>
      <c r="B19" s="6" t="n">
        <v>0.4</v>
      </c>
      <c r="C19" s="2" t="inlineStr">
        <is>
          <t>Scope shared, value clear.</t>
        </is>
      </c>
    </row>
    <row r="20">
      <c r="A20" s="3" t="inlineStr">
        <is>
          <t>Negotiation</t>
        </is>
      </c>
      <c r="B20" s="6" t="n">
        <v>0.6</v>
      </c>
      <c r="C20" s="2" t="inlineStr">
        <is>
          <t>Pricing and terms in motion.</t>
        </is>
      </c>
    </row>
    <row r="21">
      <c r="A21" s="3" t="inlineStr">
        <is>
          <t>Verbal commit</t>
        </is>
      </c>
      <c r="B21" s="6" t="n">
        <v>0.8</v>
      </c>
      <c r="C21" s="2" t="inlineStr">
        <is>
          <t>Decision made, contracting.</t>
        </is>
      </c>
    </row>
    <row r="22">
      <c r="A22" s="3" t="inlineStr">
        <is>
          <t>Closed Won</t>
        </is>
      </c>
      <c r="B22" s="6" t="n">
        <v>1</v>
      </c>
      <c r="C22" s="2" t="inlineStr">
        <is>
          <t>Signed.</t>
        </is>
      </c>
    </row>
    <row r="23">
      <c r="A23" s="3" t="inlineStr">
        <is>
          <t>Closed Lost</t>
        </is>
      </c>
      <c r="B23" s="6" t="n">
        <v>0</v>
      </c>
      <c r="C23" s="2" t="inlineStr">
        <is>
          <t>Lost.</t>
        </is>
      </c>
    </row>
    <row r="26">
      <c r="A26" s="5" t="inlineStr">
        <is>
          <t>Billing patterns (% of yr1 line item paid in each month)</t>
        </is>
      </c>
    </row>
    <row r="27">
      <c r="A27" s="9" t="inlineStr">
        <is>
          <t>Pattern</t>
        </is>
      </c>
      <c r="B27" s="10" t="inlineStr">
        <is>
          <t>M1</t>
        </is>
      </c>
      <c r="C27" s="10" t="inlineStr">
        <is>
          <t>M2</t>
        </is>
      </c>
      <c r="D27" s="10" t="inlineStr">
        <is>
          <t>M3</t>
        </is>
      </c>
      <c r="E27" s="10" t="inlineStr">
        <is>
          <t>M4</t>
        </is>
      </c>
      <c r="F27" s="10" t="inlineStr">
        <is>
          <t>M5</t>
        </is>
      </c>
      <c r="G27" s="10" t="inlineStr">
        <is>
          <t>M6</t>
        </is>
      </c>
      <c r="H27" s="10" t="inlineStr">
        <is>
          <t>M7</t>
        </is>
      </c>
      <c r="I27" s="10" t="inlineStr">
        <is>
          <t>M8</t>
        </is>
      </c>
      <c r="J27" s="10" t="inlineStr">
        <is>
          <t>M9</t>
        </is>
      </c>
      <c r="K27" s="10" t="inlineStr">
        <is>
          <t>M10</t>
        </is>
      </c>
      <c r="L27" s="10" t="inlineStr">
        <is>
          <t>M11</t>
        </is>
      </c>
      <c r="M27" s="10" t="inlineStr">
        <is>
          <t>M12</t>
        </is>
      </c>
      <c r="N27" s="9" t="inlineStr">
        <is>
          <t>Sum</t>
        </is>
      </c>
    </row>
    <row r="28">
      <c r="A28" s="3" t="inlineStr">
        <is>
          <t>Quarterly in advance</t>
        </is>
      </c>
      <c r="B28" s="11" t="n">
        <v>0.25</v>
      </c>
      <c r="C28" s="11" t="n">
        <v>0</v>
      </c>
      <c r="D28" s="11" t="n">
        <v>0</v>
      </c>
      <c r="E28" s="11" t="n">
        <v>0.25</v>
      </c>
      <c r="F28" s="11" t="n">
        <v>0</v>
      </c>
      <c r="G28" s="11" t="n">
        <v>0</v>
      </c>
      <c r="H28" s="11" t="n">
        <v>0.25</v>
      </c>
      <c r="I28" s="11" t="n">
        <v>0</v>
      </c>
      <c r="J28" s="11" t="n">
        <v>0</v>
      </c>
      <c r="K28" s="11" t="n">
        <v>0.25</v>
      </c>
      <c r="L28" s="11" t="n">
        <v>0</v>
      </c>
      <c r="M28" s="11" t="n">
        <v>0</v>
      </c>
      <c r="N28" s="12">
        <f>SUM(B28:M28)</f>
        <v/>
      </c>
    </row>
    <row r="29">
      <c r="A29" s="3" t="inlineStr">
        <is>
          <t>Quarterly in arrears</t>
        </is>
      </c>
      <c r="B29" s="11" t="n">
        <v>0</v>
      </c>
      <c r="C29" s="11" t="n">
        <v>0</v>
      </c>
      <c r="D29" s="11" t="n">
        <v>0.25</v>
      </c>
      <c r="E29" s="11" t="n">
        <v>0</v>
      </c>
      <c r="F29" s="11" t="n">
        <v>0</v>
      </c>
      <c r="G29" s="11" t="n">
        <v>0.25</v>
      </c>
      <c r="H29" s="11" t="n">
        <v>0</v>
      </c>
      <c r="I29" s="11" t="n">
        <v>0</v>
      </c>
      <c r="J29" s="11" t="n">
        <v>0.25</v>
      </c>
      <c r="K29" s="11" t="n">
        <v>0</v>
      </c>
      <c r="L29" s="11" t="n">
        <v>0</v>
      </c>
      <c r="M29" s="11" t="n">
        <v>0.25</v>
      </c>
      <c r="N29" s="12">
        <f>SUM(B29:M29)</f>
        <v/>
      </c>
    </row>
    <row r="30">
      <c r="A30" s="3" t="inlineStr">
        <is>
          <t>Monthly in advance</t>
        </is>
      </c>
      <c r="B30" s="11" t="n">
        <v>0.08333333333333333</v>
      </c>
      <c r="C30" s="11" t="n">
        <v>0.08333333333333333</v>
      </c>
      <c r="D30" s="11" t="n">
        <v>0.08333333333333333</v>
      </c>
      <c r="E30" s="11" t="n">
        <v>0.08333333333333333</v>
      </c>
      <c r="F30" s="11" t="n">
        <v>0.08333333333333333</v>
      </c>
      <c r="G30" s="11" t="n">
        <v>0.08333333333333333</v>
      </c>
      <c r="H30" s="11" t="n">
        <v>0.08333333333333333</v>
      </c>
      <c r="I30" s="11" t="n">
        <v>0.08333333333333333</v>
      </c>
      <c r="J30" s="11" t="n">
        <v>0.08333333333333333</v>
      </c>
      <c r="K30" s="11" t="n">
        <v>0.08333333333333333</v>
      </c>
      <c r="L30" s="11" t="n">
        <v>0.08333333333333333</v>
      </c>
      <c r="M30" s="11" t="n">
        <v>0.08333333333333333</v>
      </c>
      <c r="N30" s="12">
        <f>SUM(B30:M30)</f>
        <v/>
      </c>
    </row>
    <row r="31">
      <c r="A31" s="3" t="inlineStr">
        <is>
          <t>Monthly in arrears</t>
        </is>
      </c>
      <c r="B31" s="11" t="n">
        <v>0.08333333333333333</v>
      </c>
      <c r="C31" s="11" t="n">
        <v>0.08333333333333333</v>
      </c>
      <c r="D31" s="11" t="n">
        <v>0.08333333333333333</v>
      </c>
      <c r="E31" s="11" t="n">
        <v>0.08333333333333333</v>
      </c>
      <c r="F31" s="11" t="n">
        <v>0.08333333333333333</v>
      </c>
      <c r="G31" s="11" t="n">
        <v>0.08333333333333333</v>
      </c>
      <c r="H31" s="11" t="n">
        <v>0.08333333333333333</v>
      </c>
      <c r="I31" s="11" t="n">
        <v>0.08333333333333333</v>
      </c>
      <c r="J31" s="11" t="n">
        <v>0.08333333333333333</v>
      </c>
      <c r="K31" s="11" t="n">
        <v>0.08333333333333333</v>
      </c>
      <c r="L31" s="11" t="n">
        <v>0.08333333333333333</v>
      </c>
      <c r="M31" s="11" t="n">
        <v>0.08333333333333333</v>
      </c>
      <c r="N31" s="12">
        <f>SUM(B31:M31)</f>
        <v/>
      </c>
    </row>
    <row r="32">
      <c r="A32" s="3" t="inlineStr">
        <is>
          <t>One-off at signing</t>
        </is>
      </c>
      <c r="B32" s="11" t="n">
        <v>1</v>
      </c>
      <c r="C32" s="11" t="n">
        <v>0</v>
      </c>
      <c r="D32" s="11" t="n">
        <v>0</v>
      </c>
      <c r="E32" s="11" t="n">
        <v>0</v>
      </c>
      <c r="F32" s="11" t="n">
        <v>0</v>
      </c>
      <c r="G32" s="11" t="n">
        <v>0</v>
      </c>
      <c r="H32" s="11" t="n">
        <v>0</v>
      </c>
      <c r="I32" s="11" t="n">
        <v>0</v>
      </c>
      <c r="J32" s="11" t="n">
        <v>0</v>
      </c>
      <c r="K32" s="11" t="n">
        <v>0</v>
      </c>
      <c r="L32" s="11" t="n">
        <v>0</v>
      </c>
      <c r="M32" s="11" t="n">
        <v>0</v>
      </c>
      <c r="N32" s="12">
        <f>SUM(B32:M32)</f>
        <v/>
      </c>
    </row>
    <row r="33">
      <c r="A33" s="3" t="inlineStr">
        <is>
          <t>Half upfront, half mid-term</t>
        </is>
      </c>
      <c r="B33" s="11" t="n">
        <v>0.5</v>
      </c>
      <c r="C33" s="11" t="n">
        <v>0</v>
      </c>
      <c r="D33" s="11" t="n">
        <v>0</v>
      </c>
      <c r="E33" s="11" t="n">
        <v>0</v>
      </c>
      <c r="F33" s="11" t="n">
        <v>0</v>
      </c>
      <c r="G33" s="11" t="n">
        <v>0.5</v>
      </c>
      <c r="H33" s="11" t="n">
        <v>0</v>
      </c>
      <c r="I33" s="11" t="n">
        <v>0</v>
      </c>
      <c r="J33" s="11" t="n">
        <v>0</v>
      </c>
      <c r="K33" s="11" t="n">
        <v>0</v>
      </c>
      <c r="L33" s="11" t="n">
        <v>0</v>
      </c>
      <c r="M33" s="11" t="n">
        <v>0</v>
      </c>
      <c r="N33" s="12">
        <f>SUM(B33:M33)</f>
        <v/>
      </c>
    </row>
    <row r="34">
      <c r="A34" s="3" t="inlineStr">
        <is>
          <t>Commission cash 6mo lag (Y1 in-year only)</t>
        </is>
      </c>
      <c r="B34" s="11" t="n">
        <v>0</v>
      </c>
      <c r="C34" s="11" t="n">
        <v>0</v>
      </c>
      <c r="D34" s="11" t="n">
        <v>0</v>
      </c>
      <c r="E34" s="11" t="n">
        <v>0</v>
      </c>
      <c r="F34" s="11" t="n">
        <v>0</v>
      </c>
      <c r="G34" s="11" t="n">
        <v>0</v>
      </c>
      <c r="H34" s="11" t="n">
        <v>0.08333333333333333</v>
      </c>
      <c r="I34" s="11" t="n">
        <v>0.08333333333333333</v>
      </c>
      <c r="J34" s="11" t="n">
        <v>0.08333333333333333</v>
      </c>
      <c r="K34" s="11" t="n">
        <v>0.08333333333333333</v>
      </c>
      <c r="L34" s="11" t="n">
        <v>0.08333333333333333</v>
      </c>
      <c r="M34" s="11" t="n">
        <v>0.08333333333333333</v>
      </c>
      <c r="N34" s="12">
        <f>SUM(B34:M34)</f>
        <v/>
      </c>
    </row>
    <row r="35">
      <c r="A35" s="3" t="inlineStr">
        <is>
          <t>Net 30 from invoice</t>
        </is>
      </c>
      <c r="B35" s="11" t="n">
        <v>0</v>
      </c>
      <c r="C35" s="11" t="n">
        <v>0.08333333333333333</v>
      </c>
      <c r="D35" s="11" t="n">
        <v>0.08333333333333333</v>
      </c>
      <c r="E35" s="11" t="n">
        <v>0.08333333333333333</v>
      </c>
      <c r="F35" s="11" t="n">
        <v>0.08333333333333333</v>
      </c>
      <c r="G35" s="11" t="n">
        <v>0.08333333333333333</v>
      </c>
      <c r="H35" s="11" t="n">
        <v>0.08333333333333333</v>
      </c>
      <c r="I35" s="11" t="n">
        <v>0.08333333333333333</v>
      </c>
      <c r="J35" s="11" t="n">
        <v>0.08333333333333333</v>
      </c>
      <c r="K35" s="11" t="n">
        <v>0.08333333333333333</v>
      </c>
      <c r="L35" s="11" t="n">
        <v>0.08333333333333333</v>
      </c>
      <c r="M35" s="11" t="n">
        <v>0.08333333333333333</v>
      </c>
      <c r="N35" s="12">
        <f>SUM(B35:M35)</f>
        <v/>
      </c>
    </row>
  </sheetData>
  <mergeCells count="4">
    <mergeCell ref="A17:C17"/>
    <mergeCell ref="A4:C4"/>
    <mergeCell ref="A26:N26"/>
    <mergeCell ref="A13:C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W25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5" customWidth="1" min="1" max="1"/>
    <col width="15" customWidth="1" min="2" max="2"/>
    <col width="14" customWidth="1" min="3" max="3"/>
    <col width="14" customWidth="1" min="4" max="4"/>
    <col width="18" customWidth="1" min="5" max="5"/>
    <col width="15" customWidth="1" min="6" max="6"/>
    <col width="15" customWidth="1" min="7" max="7"/>
    <col width="15" customWidth="1" min="8" max="8"/>
    <col width="22" customWidth="1" min="9" max="9"/>
    <col width="22" customWidth="1" min="10" max="10"/>
    <col width="22" customWidth="1" min="11" max="11"/>
    <col width="28" customWidth="1" min="12" max="12"/>
    <col width="28" customWidth="1" min="13" max="13"/>
    <col width="28" customWidth="1" min="14" max="14"/>
    <col width="21" customWidth="1" min="15" max="15"/>
    <col width="21" customWidth="1" min="16" max="16"/>
    <col width="25" customWidth="1" min="17" max="17"/>
    <col width="25" customWidth="1" min="18" max="18"/>
    <col width="21" customWidth="1" min="19" max="19"/>
    <col width="28" customWidth="1" min="20" max="20"/>
    <col width="25" customWidth="1" min="21" max="21"/>
    <col width="28" customWidth="1" min="22" max="22"/>
    <col width="23" customWidth="1" min="23" max="23"/>
    <col width="25" customWidth="1" min="24" max="24"/>
    <col width="28" customWidth="1" min="25" max="25"/>
    <col width="25" customWidth="1" min="26" max="26"/>
    <col width="28" customWidth="1" min="27" max="27"/>
    <col width="25" customWidth="1" min="28" max="28"/>
    <col width="28" customWidth="1" min="29" max="29"/>
    <col width="26" customWidth="1" min="30" max="30"/>
    <col width="28" customWidth="1" min="31" max="31"/>
    <col width="21" customWidth="1" min="32" max="32"/>
    <col width="28" customWidth="1" min="33" max="33"/>
    <col width="16" customWidth="1" min="34" max="34"/>
    <col width="16" customWidth="1" min="35" max="35"/>
    <col width="16" customWidth="1" min="36" max="36"/>
    <col width="16" customWidth="1" min="37" max="37"/>
    <col width="21" customWidth="1" min="38" max="38"/>
    <col width="25" customWidth="1" min="39" max="39"/>
    <col width="28" customWidth="1" min="40" max="40"/>
    <col width="28" customWidth="1" min="41" max="41"/>
    <col width="28" customWidth="1" min="42" max="42"/>
    <col width="20" customWidth="1" min="43" max="43"/>
    <col width="20" customWidth="1" min="44" max="44"/>
    <col width="20" customWidth="1" min="45" max="45"/>
    <col width="28" customWidth="1" min="46" max="46"/>
    <col width="28" customWidth="1" min="47" max="47"/>
    <col width="28" customWidth="1" min="48" max="48"/>
    <col width="28" customWidth="1" min="49" max="49"/>
    <col width="28" customWidth="1" min="50" max="50"/>
    <col width="28" customWidth="1" min="51" max="51"/>
    <col width="28" customWidth="1" min="52" max="52"/>
    <col width="28" customWidth="1" min="53" max="53"/>
    <col width="28" customWidth="1" min="54" max="54"/>
    <col width="28" customWidth="1" min="55" max="55"/>
    <col width="28" customWidth="1" min="56" max="56"/>
    <col width="28" customWidth="1" min="57" max="57"/>
    <col width="28" customWidth="1" min="58" max="58"/>
    <col width="28" customWidth="1" min="59" max="59"/>
    <col width="28" customWidth="1" min="60" max="60"/>
    <col width="28" customWidth="1" min="61" max="61"/>
    <col width="28" customWidth="1" min="62" max="62"/>
    <col width="28" customWidth="1" min="63" max="63"/>
    <col width="28" customWidth="1" min="64" max="64"/>
    <col width="28" customWidth="1" min="65" max="65"/>
    <col width="18" customWidth="1" min="66" max="66"/>
    <col width="18" customWidth="1" min="67" max="67"/>
    <col width="18" customWidth="1" min="68" max="68"/>
    <col width="18" customWidth="1" min="69" max="69"/>
    <col width="15" customWidth="1" min="70" max="70"/>
    <col width="15" customWidth="1" min="71" max="71"/>
    <col width="15" customWidth="1" min="72" max="72"/>
    <col width="15" customWidth="1" min="73" max="73"/>
    <col width="14" customWidth="1" min="74" max="74"/>
    <col width="14" customWidth="1" min="75" max="75"/>
    <col width="14" customWidth="1" min="76" max="76"/>
    <col width="14" customWidth="1" min="77" max="77"/>
    <col width="22" customWidth="1" min="78" max="78"/>
    <col width="22" customWidth="1" min="79" max="79"/>
    <col width="18" customWidth="1" min="80" max="80"/>
    <col width="18" customWidth="1" min="81" max="81"/>
    <col width="22" customWidth="1" min="82" max="82"/>
    <col width="22" customWidth="1" min="83" max="83"/>
    <col width="22" customWidth="1" min="84" max="84"/>
    <col width="22" customWidth="1" min="85" max="85"/>
    <col width="19" customWidth="1" min="86" max="86"/>
    <col width="19" customWidth="1" min="87" max="87"/>
    <col width="19" customWidth="1" min="88" max="88"/>
    <col width="19" customWidth="1" min="89" max="89"/>
    <col width="18" customWidth="1" min="90" max="90"/>
    <col width="18" customWidth="1" min="91" max="91"/>
    <col width="18" customWidth="1" min="92" max="92"/>
    <col width="18" customWidth="1" min="93" max="93"/>
    <col width="28" customWidth="1" min="94" max="94"/>
    <col width="28" customWidth="1" min="95" max="95"/>
    <col width="22" customWidth="1" min="96" max="96"/>
    <col width="22" customWidth="1" min="97" max="97"/>
    <col width="28" customWidth="1" min="98" max="98"/>
    <col width="27" customWidth="1" min="99" max="99"/>
    <col width="28" customWidth="1" min="100" max="100"/>
    <col width="28" customWidth="1" min="101" max="101"/>
  </cols>
  <sheetData>
    <row r="1">
      <c r="A1" s="1" t="inlineStr">
        <is>
          <t>Calculator — client + scenario inputs and outputs</t>
        </is>
      </c>
    </row>
    <row r="2">
      <c r="A2" s="5" t="inlineStr">
        <is>
          <t>Identity</t>
        </is>
      </c>
      <c r="F2" s="5" t="inlineStr">
        <is>
          <t>Members</t>
        </is>
      </c>
      <c r="I2" s="5" t="inlineStr">
        <is>
          <t>Conversion</t>
        </is>
      </c>
      <c r="O2" s="5" t="inlineStr">
        <is>
          <t>Pricing</t>
        </is>
      </c>
      <c r="S2" s="5" t="inlineStr">
        <is>
          <t>Booking economics</t>
        </is>
      </c>
      <c r="W2" s="5" t="inlineStr">
        <is>
          <t>Exclusivity (annual recurring)</t>
        </is>
      </c>
      <c r="AD2" s="5" t="inlineStr">
        <is>
          <t>Other</t>
        </is>
      </c>
      <c r="AH2" s="5" t="inlineStr">
        <is>
          <t>Output: bookings</t>
        </is>
      </c>
      <c r="AL2" s="5" t="inlineStr">
        <is>
          <t>Output: member economics</t>
        </is>
      </c>
      <c r="AT2" s="5" t="inlineStr">
        <is>
          <t>Output: commissions yr1</t>
        </is>
      </c>
      <c r="AZ2" s="5" t="inlineStr">
        <is>
          <t>Output: commissions yr2</t>
        </is>
      </c>
      <c r="BD2" s="5" t="inlineStr">
        <is>
          <t>Output: commissions yr3</t>
        </is>
      </c>
      <c r="BH2" s="5" t="inlineStr">
        <is>
          <t>Output: exclusivity</t>
        </is>
      </c>
      <c r="BN2" s="5" t="inlineStr">
        <is>
          <t>Output: TA P&amp;L (GBP)</t>
        </is>
      </c>
      <c r="BZ2" s="5" t="inlineStr">
        <is>
          <t>Output: TA P&amp;L (AUD primary)</t>
        </is>
      </c>
      <c r="CD2" s="5" t="inlineStr">
        <is>
          <t>Output: Client P&amp;L (GBP)</t>
        </is>
      </c>
      <c r="CR2" s="5" t="inlineStr">
        <is>
          <t>Output: Client P&amp;L (AUD primary)</t>
        </is>
      </c>
      <c r="CT2" s="5" t="inlineStr">
        <is>
          <t>Output: deal value totals</t>
        </is>
      </c>
    </row>
    <row r="3">
      <c r="A3" s="13" t="inlineStr">
        <is>
          <t>client_slug</t>
        </is>
      </c>
      <c r="B3" s="13" t="inlineStr">
        <is>
          <t>client_name</t>
        </is>
      </c>
      <c r="C3" s="13" t="inlineStr">
        <is>
          <t>scenario</t>
        </is>
      </c>
      <c r="D3" s="13" t="inlineStr">
        <is>
          <t>currency</t>
        </is>
      </c>
      <c r="E3" s="13" t="inlineStr">
        <is>
          <t>fx_rate_to_aud</t>
        </is>
      </c>
      <c r="F3" s="13" t="inlineStr">
        <is>
          <t>members_yr1</t>
        </is>
      </c>
      <c r="G3" s="13" t="inlineStr">
        <is>
          <t>members_yr2</t>
        </is>
      </c>
      <c r="H3" s="13" t="inlineStr">
        <is>
          <t>members_yr3</t>
        </is>
      </c>
      <c r="I3" s="13" t="inlineStr">
        <is>
          <t>conversion_yr1_pct</t>
        </is>
      </c>
      <c r="J3" s="13" t="inlineStr">
        <is>
          <t>conversion_yr2_pct</t>
        </is>
      </c>
      <c r="K3" s="13" t="inlineStr">
        <is>
          <t>conversion_yr3_pct</t>
        </is>
      </c>
      <c r="L3" s="13" t="inlineStr">
        <is>
          <t>bookings_per_converter_yr1</t>
        </is>
      </c>
      <c r="M3" s="13" t="inlineStr">
        <is>
          <t>bookings_per_converter_yr2</t>
        </is>
      </c>
      <c r="N3" s="13" t="inlineStr">
        <is>
          <t>bookings_per_converter_yr3</t>
        </is>
      </c>
      <c r="O3" s="13" t="inlineStr">
        <is>
          <t>ta_fee_per_member</t>
        </is>
      </c>
      <c r="P3" s="13" t="inlineStr">
        <is>
          <t>client_member_fee</t>
        </is>
      </c>
      <c r="Q3" s="13" t="inlineStr">
        <is>
          <t>ta_fee_per_member_y23</t>
        </is>
      </c>
      <c r="R3" s="13" t="inlineStr">
        <is>
          <t>client_member_fee_y23</t>
        </is>
      </c>
      <c r="S3" s="13" t="inlineStr">
        <is>
          <t>avg_booking_value</t>
        </is>
      </c>
      <c r="T3" s="13" t="inlineStr">
        <is>
          <t>category_commission_rate</t>
        </is>
      </c>
      <c r="U3" s="13" t="inlineStr">
        <is>
          <t>insurance_attach_rate</t>
        </is>
      </c>
      <c r="V3" s="13" t="inlineStr">
        <is>
          <t>insurance_commission_per_policy</t>
        </is>
      </c>
      <c r="W3" s="13" t="inlineStr">
        <is>
          <t>exclusivity_elected</t>
        </is>
      </c>
      <c r="X3" s="13" t="inlineStr">
        <is>
          <t>exclusivity_gross_yr1</t>
        </is>
      </c>
      <c r="Y3" s="13" t="inlineStr">
        <is>
          <t>exclusivity_rebate_to_client_yr1</t>
        </is>
      </c>
      <c r="Z3" s="13" t="inlineStr">
        <is>
          <t>exclusivity_gross_yr2</t>
        </is>
      </c>
      <c r="AA3" s="13" t="inlineStr">
        <is>
          <t>exclusivity_rebate_to_client_yr2</t>
        </is>
      </c>
      <c r="AB3" s="13" t="inlineStr">
        <is>
          <t>exclusivity_gross_yr3</t>
        </is>
      </c>
      <c r="AC3" s="13" t="inlineStr">
        <is>
          <t>exclusivity_rebate_to_client_yr3</t>
        </is>
      </c>
      <c r="AD3" s="13" t="inlineStr">
        <is>
          <t>additional_fees_ta_yr1</t>
        </is>
      </c>
      <c r="AE3" s="13" t="inlineStr">
        <is>
          <t>additional_fees_client_yr1</t>
        </is>
      </c>
      <c r="AF3" s="13" t="inlineStr">
        <is>
          <t>ta_cac_per_member</t>
        </is>
      </c>
      <c r="AG3" s="13" t="inlineStr">
        <is>
          <t>ta_cost_to_serve_per_member</t>
        </is>
      </c>
      <c r="AH3" s="13" t="inlineStr">
        <is>
          <t>bookings_yr1</t>
        </is>
      </c>
      <c r="AI3" s="13" t="inlineStr">
        <is>
          <t>bookings_yr2</t>
        </is>
      </c>
      <c r="AJ3" s="13" t="inlineStr">
        <is>
          <t>bookings_yr3</t>
        </is>
      </c>
      <c r="AK3" s="13" t="inlineStr">
        <is>
          <t>bookings_3yr</t>
        </is>
      </c>
      <c r="AL3" s="13" t="inlineStr">
        <is>
          <t>margin_per_member</t>
        </is>
      </c>
      <c r="AM3" s="13" t="inlineStr">
        <is>
          <t>margin_per_member_y23</t>
        </is>
      </c>
      <c r="AN3" s="13" t="inlineStr">
        <is>
          <t>client_member_margin_yr1</t>
        </is>
      </c>
      <c r="AO3" s="13" t="inlineStr">
        <is>
          <t>client_member_margin_yr2</t>
        </is>
      </c>
      <c r="AP3" s="13" t="inlineStr">
        <is>
          <t>client_member_margin_yr3</t>
        </is>
      </c>
      <c r="AQ3" s="13" t="inlineStr">
        <is>
          <t>platform_fee_yr1</t>
        </is>
      </c>
      <c r="AR3" s="13" t="inlineStr">
        <is>
          <t>platform_fee_yr2</t>
        </is>
      </c>
      <c r="AS3" s="13" t="inlineStr">
        <is>
          <t>platform_fee_yr3</t>
        </is>
      </c>
      <c r="AT3" s="13" t="inlineStr">
        <is>
          <t>category_commission_total_yr1</t>
        </is>
      </c>
      <c r="AU3" s="13" t="inlineStr">
        <is>
          <t>category_commission_ta_yr1</t>
        </is>
      </c>
      <c r="AV3" s="13" t="inlineStr">
        <is>
          <t>category_commission_client_yr1</t>
        </is>
      </c>
      <c r="AW3" s="13" t="inlineStr">
        <is>
          <t>insurance_commission_total_yr1</t>
        </is>
      </c>
      <c r="AX3" s="13" t="inlineStr">
        <is>
          <t>insurance_commission_ta_yr1</t>
        </is>
      </c>
      <c r="AY3" s="13" t="inlineStr">
        <is>
          <t>insurance_commission_client_yr1</t>
        </is>
      </c>
      <c r="AZ3" s="13" t="inlineStr">
        <is>
          <t>category_commission_total_yr2</t>
        </is>
      </c>
      <c r="BA3" s="13" t="inlineStr">
        <is>
          <t>category_commission_ta_yr2</t>
        </is>
      </c>
      <c r="BB3" s="13" t="inlineStr">
        <is>
          <t>insurance_commission_total_yr2</t>
        </is>
      </c>
      <c r="BC3" s="13" t="inlineStr">
        <is>
          <t>insurance_commission_ta_yr2</t>
        </is>
      </c>
      <c r="BD3" s="13" t="inlineStr">
        <is>
          <t>category_commission_total_yr3</t>
        </is>
      </c>
      <c r="BE3" s="13" t="inlineStr">
        <is>
          <t>category_commission_ta_yr3</t>
        </is>
      </c>
      <c r="BF3" s="13" t="inlineStr">
        <is>
          <t>insurance_commission_total_yr3</t>
        </is>
      </c>
      <c r="BG3" s="13" t="inlineStr">
        <is>
          <t>insurance_commission_ta_yr3</t>
        </is>
      </c>
      <c r="BH3" s="13" t="inlineStr">
        <is>
          <t>exclusivity_net_to_ta_yr1</t>
        </is>
      </c>
      <c r="BI3" s="13" t="inlineStr">
        <is>
          <t>exclusivity_net_to_ta_yr2</t>
        </is>
      </c>
      <c r="BJ3" s="13" t="inlineStr">
        <is>
          <t>exclusivity_net_to_ta_yr3</t>
        </is>
      </c>
      <c r="BK3" s="13" t="inlineStr">
        <is>
          <t>exclusivity_client_cost_yr1</t>
        </is>
      </c>
      <c r="BL3" s="13" t="inlineStr">
        <is>
          <t>exclusivity_client_cost_yr2</t>
        </is>
      </c>
      <c r="BM3" s="13" t="inlineStr">
        <is>
          <t>exclusivity_client_cost_yr3</t>
        </is>
      </c>
      <c r="BN3" s="13" t="inlineStr">
        <is>
          <t>ta_revenue_yr1</t>
        </is>
      </c>
      <c r="BO3" s="13" t="inlineStr">
        <is>
          <t>ta_revenue_yr2</t>
        </is>
      </c>
      <c r="BP3" s="13" t="inlineStr">
        <is>
          <t>ta_revenue_yr3</t>
        </is>
      </c>
      <c r="BQ3" s="13" t="inlineStr">
        <is>
          <t>ta_revenue_3yr</t>
        </is>
      </c>
      <c r="BR3" s="13" t="inlineStr">
        <is>
          <t>ta_cost_yr1</t>
        </is>
      </c>
      <c r="BS3" s="13" t="inlineStr">
        <is>
          <t>ta_cost_yr2</t>
        </is>
      </c>
      <c r="BT3" s="13" t="inlineStr">
        <is>
          <t>ta_cost_yr3</t>
        </is>
      </c>
      <c r="BU3" s="13" t="inlineStr">
        <is>
          <t>ta_cost_3yr</t>
        </is>
      </c>
      <c r="BV3" s="13" t="inlineStr">
        <is>
          <t>ta_net_yr1</t>
        </is>
      </c>
      <c r="BW3" s="13" t="inlineStr">
        <is>
          <t>ta_net_yr2</t>
        </is>
      </c>
      <c r="BX3" s="13" t="inlineStr">
        <is>
          <t>ta_net_yr3</t>
        </is>
      </c>
      <c r="BY3" s="13" t="inlineStr">
        <is>
          <t>ta_net_3yr</t>
        </is>
      </c>
      <c r="BZ3" s="13" t="inlineStr">
        <is>
          <t>ta_revenue_yr1_aud</t>
        </is>
      </c>
      <c r="CA3" s="13" t="inlineStr">
        <is>
          <t>ta_revenue_3yr_aud</t>
        </is>
      </c>
      <c r="CB3" s="13" t="inlineStr">
        <is>
          <t>ta_net_yr1_aud</t>
        </is>
      </c>
      <c r="CC3" s="13" t="inlineStr">
        <is>
          <t>ta_net_3yr_aud</t>
        </is>
      </c>
      <c r="CD3" s="13" t="inlineStr">
        <is>
          <t>client_revenue_yr1</t>
        </is>
      </c>
      <c r="CE3" s="13" t="inlineStr">
        <is>
          <t>client_revenue_yr2</t>
        </is>
      </c>
      <c r="CF3" s="13" t="inlineStr">
        <is>
          <t>client_revenue_yr3</t>
        </is>
      </c>
      <c r="CG3" s="13" t="inlineStr">
        <is>
          <t>client_revenue_3yr</t>
        </is>
      </c>
      <c r="CH3" s="13" t="inlineStr">
        <is>
          <t>client_cost_yr1</t>
        </is>
      </c>
      <c r="CI3" s="13" t="inlineStr">
        <is>
          <t>client_cost_yr2</t>
        </is>
      </c>
      <c r="CJ3" s="13" t="inlineStr">
        <is>
          <t>client_cost_yr3</t>
        </is>
      </c>
      <c r="CK3" s="13" t="inlineStr">
        <is>
          <t>client_cost_3yr</t>
        </is>
      </c>
      <c r="CL3" s="13" t="inlineStr">
        <is>
          <t>client_net_yr1</t>
        </is>
      </c>
      <c r="CM3" s="13" t="inlineStr">
        <is>
          <t>client_net_yr2</t>
        </is>
      </c>
      <c r="CN3" s="13" t="inlineStr">
        <is>
          <t>client_net_yr3</t>
        </is>
      </c>
      <c r="CO3" s="13" t="inlineStr">
        <is>
          <t>client_net_3yr</t>
        </is>
      </c>
      <c r="CP3" s="13" t="inlineStr">
        <is>
          <t>net_return_per_member_yr1</t>
        </is>
      </c>
      <c r="CQ3" s="13" t="inlineStr">
        <is>
          <t>net_return_per_member_3yr</t>
        </is>
      </c>
      <c r="CR3" s="13" t="inlineStr">
        <is>
          <t>client_net_yr1_aud</t>
        </is>
      </c>
      <c r="CS3" s="13" t="inlineStr">
        <is>
          <t>client_net_3yr_aud</t>
        </is>
      </c>
      <c r="CT3" s="13" t="inlineStr">
        <is>
          <t>commissions_total_yr1_total</t>
        </is>
      </c>
      <c r="CU3" s="13" t="inlineStr">
        <is>
          <t>ta_yr1_excl_commissions</t>
        </is>
      </c>
      <c r="CV3" s="13" t="inlineStr">
        <is>
          <t>hubspot_deal_amount_yr1_gbp</t>
        </is>
      </c>
      <c r="CW3" s="13" t="inlineStr">
        <is>
          <t>hubspot_deal_amount_yr1_aud</t>
        </is>
      </c>
    </row>
    <row r="4">
      <c r="A4" s="14" t="inlineStr">
        <is>
          <t>auscycling</t>
        </is>
      </c>
      <c r="B4" s="14" t="inlineStr">
        <is>
          <t>AusCycling Limited</t>
        </is>
      </c>
      <c r="C4" s="14" t="inlineStr">
        <is>
          <t>base</t>
        </is>
      </c>
      <c r="D4" s="14" t="inlineStr">
        <is>
          <t>AUD</t>
        </is>
      </c>
      <c r="E4" s="15" t="n">
        <v>1</v>
      </c>
      <c r="F4" s="16" t="n">
        <v>52000</v>
      </c>
      <c r="G4" s="16" t="n">
        <v>70000</v>
      </c>
      <c r="H4" s="16" t="n">
        <v>90000</v>
      </c>
      <c r="I4" s="17" t="n">
        <v>0.02</v>
      </c>
      <c r="J4" s="17" t="n">
        <v>0.025</v>
      </c>
      <c r="K4" s="17" t="n">
        <v>0.03</v>
      </c>
      <c r="L4" s="18" t="n">
        <v>1</v>
      </c>
      <c r="M4" s="18" t="n">
        <v>1</v>
      </c>
      <c r="N4" s="18" t="n">
        <v>1</v>
      </c>
      <c r="O4" s="19" t="n">
        <v>0</v>
      </c>
      <c r="P4" s="19" t="n">
        <v>0</v>
      </c>
      <c r="Q4" s="19" t="n">
        <v>0</v>
      </c>
      <c r="R4" s="19" t="n">
        <v>0</v>
      </c>
      <c r="S4" s="19" t="n">
        <v>328.7899038461538</v>
      </c>
      <c r="T4" s="17" t="n">
        <v>0.08</v>
      </c>
      <c r="U4" s="17" t="n">
        <v>0.3</v>
      </c>
      <c r="V4" s="19" t="n">
        <v>2.205</v>
      </c>
      <c r="W4" s="14" t="inlineStr">
        <is>
          <t>no</t>
        </is>
      </c>
      <c r="X4" s="19" t="n">
        <v>0</v>
      </c>
      <c r="Y4" s="19" t="n">
        <v>0</v>
      </c>
      <c r="Z4" s="19" t="n">
        <v>0</v>
      </c>
      <c r="AA4" s="19" t="n">
        <v>0</v>
      </c>
      <c r="AB4" s="19" t="n">
        <v>0</v>
      </c>
      <c r="AC4" s="19" t="n">
        <v>0</v>
      </c>
      <c r="AD4" s="19" t="n">
        <v>0</v>
      </c>
      <c r="AE4" s="19" t="n">
        <v>0</v>
      </c>
      <c r="AF4" s="19" t="n">
        <v>0.3</v>
      </c>
      <c r="AG4" s="19" t="n">
        <v>0.5</v>
      </c>
      <c r="AH4" s="20">
        <f>F4*I4*L4</f>
        <v/>
      </c>
      <c r="AI4" s="20">
        <f>G4*J4*M4</f>
        <v/>
      </c>
      <c r="AJ4" s="20">
        <f>H4*K4*N4</f>
        <v/>
      </c>
      <c r="AK4" s="20">
        <f>AH4+AI4+AJ4</f>
        <v/>
      </c>
      <c r="AL4" s="21">
        <f>P4-O4</f>
        <v/>
      </c>
      <c r="AM4" s="21">
        <f>R4-Q4</f>
        <v/>
      </c>
      <c r="AN4" s="21">
        <f>F4*AL4</f>
        <v/>
      </c>
      <c r="AO4" s="21">
        <f>G4*AM4</f>
        <v/>
      </c>
      <c r="AP4" s="21">
        <f>H4*AM4</f>
        <v/>
      </c>
      <c r="AQ4" s="21" t="n">
        <v>0</v>
      </c>
      <c r="AR4" s="21" t="n">
        <v>0</v>
      </c>
      <c r="AS4" s="21" t="n">
        <v>0</v>
      </c>
      <c r="AT4" s="21" t="n">
        <v>27355.32</v>
      </c>
      <c r="AU4" s="21" t="n">
        <v>13677.66</v>
      </c>
      <c r="AV4" s="21">
        <f>AT4*(1-Parameters!$B$5)</f>
        <v/>
      </c>
      <c r="AW4" s="21" t="n">
        <v>687.96</v>
      </c>
      <c r="AX4" s="21" t="n">
        <v>343.98</v>
      </c>
      <c r="AY4" s="21">
        <f>AW4*(1-Parameters!$B$5)</f>
        <v/>
      </c>
      <c r="AZ4" s="21" t="n">
        <v>46030.6</v>
      </c>
      <c r="BA4" s="21" t="n">
        <v>23015.3</v>
      </c>
      <c r="BB4" s="21" t="n">
        <v>1157.62</v>
      </c>
      <c r="BC4" s="21" t="n">
        <v>578.8099999999999</v>
      </c>
      <c r="BD4" s="21" t="n">
        <v>71018.64</v>
      </c>
      <c r="BE4" s="21" t="n">
        <v>35509.32</v>
      </c>
      <c r="BF4" s="21" t="n">
        <v>1786.06</v>
      </c>
      <c r="BG4" s="21" t="n">
        <v>893.03</v>
      </c>
      <c r="BH4" s="21" t="n">
        <v>0</v>
      </c>
      <c r="BI4" s="21" t="n">
        <v>0</v>
      </c>
      <c r="BJ4" s="21" t="n">
        <v>0</v>
      </c>
      <c r="BK4" s="21">
        <f>IF(LOWER(W4)="yes",X4,0)</f>
        <v/>
      </c>
      <c r="BL4" s="21">
        <f>IF(LOWER(W4)="yes",Z4,0)</f>
        <v/>
      </c>
      <c r="BM4" s="21">
        <f>IF(LOWER(W4)="yes",AB4,0)</f>
        <v/>
      </c>
      <c r="BN4" s="21">
        <f>AQ4+AU4+AX4+BH4+AD4</f>
        <v/>
      </c>
      <c r="BO4" s="21">
        <f>AR4+BA4+BC4+BI4</f>
        <v/>
      </c>
      <c r="BP4" s="21">
        <f>AS4+BE4+BG4+BJ4</f>
        <v/>
      </c>
      <c r="BQ4" s="21">
        <f>BN4+BO4+BP4</f>
        <v/>
      </c>
      <c r="BR4" s="21">
        <f>F4*(AF4+AG4)</f>
        <v/>
      </c>
      <c r="BS4" s="21">
        <f>G4*AG4</f>
        <v/>
      </c>
      <c r="BT4" s="21">
        <f>H4*AG4</f>
        <v/>
      </c>
      <c r="BU4" s="21">
        <f>BR4+BS4+BT4</f>
        <v/>
      </c>
      <c r="BV4" s="21">
        <f>BN4-BR4</f>
        <v/>
      </c>
      <c r="BW4" s="21">
        <f>BO4-BS4</f>
        <v/>
      </c>
      <c r="BX4" s="21">
        <f>BP4-BT4</f>
        <v/>
      </c>
      <c r="BY4" s="21">
        <f>BV4+BW4+BX4</f>
        <v/>
      </c>
      <c r="BZ4" s="22">
        <f>BN4*E4</f>
        <v/>
      </c>
      <c r="CA4" s="22">
        <f>BQ4*E4</f>
        <v/>
      </c>
      <c r="CB4" s="22">
        <f>BV4*E4</f>
        <v/>
      </c>
      <c r="CC4" s="22">
        <f>BY4*E4</f>
        <v/>
      </c>
      <c r="CD4" s="21">
        <f>AN4+AV4+AY4+AE4</f>
        <v/>
      </c>
      <c r="CE4" s="21">
        <f>AO4+AZ4*(1-Parameters!$B$5)+BB4*(1-Parameters!$B$5)</f>
        <v/>
      </c>
      <c r="CF4" s="21">
        <f>AP4+BD4*(1-Parameters!$B$5)+BF4*(1-Parameters!$B$5)</f>
        <v/>
      </c>
      <c r="CG4" s="21">
        <f>CD4+CE4+CF4</f>
        <v/>
      </c>
      <c r="CH4" s="21">
        <f>BK4</f>
        <v/>
      </c>
      <c r="CI4" s="21">
        <f>BL4</f>
        <v/>
      </c>
      <c r="CJ4" s="21">
        <f>BM4</f>
        <v/>
      </c>
      <c r="CK4" s="21">
        <f>CH4+CI4+CJ4</f>
        <v/>
      </c>
      <c r="CL4" s="21">
        <f>CD4-CH4</f>
        <v/>
      </c>
      <c r="CM4" s="21">
        <f>CE4-CI4</f>
        <v/>
      </c>
      <c r="CN4" s="21">
        <f>CF4-CJ4</f>
        <v/>
      </c>
      <c r="CO4" s="21">
        <f>CL4+CM4+CN4</f>
        <v/>
      </c>
      <c r="CP4" s="23">
        <f>IF(F4=0,0,CL4/F4)</f>
        <v/>
      </c>
      <c r="CQ4" s="23">
        <f>IF((F4+G4+H4)=0,0,CO4/(F4+G4+H4))</f>
        <v/>
      </c>
      <c r="CR4" s="22">
        <f>CL4*E4</f>
        <v/>
      </c>
      <c r="CS4" s="22">
        <f>CO4*E4</f>
        <v/>
      </c>
      <c r="CT4" s="21">
        <f>AT4+AW4</f>
        <v/>
      </c>
      <c r="CU4" s="21">
        <f>AQ4+BH4+AD4</f>
        <v/>
      </c>
      <c r="CV4" s="21">
        <f>AQ4</f>
        <v/>
      </c>
      <c r="CW4" s="22">
        <f>CV4*E4</f>
        <v/>
      </c>
    </row>
    <row r="5">
      <c r="A5" s="14" t="inlineStr">
        <is>
          <t>auscycling</t>
        </is>
      </c>
      <c r="B5" s="14" t="inlineStr">
        <is>
          <t>AusCycling Limited</t>
        </is>
      </c>
      <c r="C5" s="14" t="inlineStr">
        <is>
          <t>high</t>
        </is>
      </c>
      <c r="D5" s="14" t="inlineStr">
        <is>
          <t>AUD</t>
        </is>
      </c>
      <c r="E5" s="15" t="n">
        <v>1</v>
      </c>
      <c r="F5" s="16" t="n">
        <v>32000</v>
      </c>
      <c r="G5" s="16" t="n">
        <v>55000</v>
      </c>
      <c r="H5" s="16" t="n">
        <v>75000</v>
      </c>
      <c r="I5" s="17" t="n">
        <v>0.06</v>
      </c>
      <c r="J5" s="17" t="n">
        <v>0.09</v>
      </c>
      <c r="K5" s="17" t="n">
        <v>0.105</v>
      </c>
      <c r="L5" s="18" t="n">
        <v>1</v>
      </c>
      <c r="M5" s="18" t="n">
        <v>1</v>
      </c>
      <c r="N5" s="18" t="n">
        <v>1</v>
      </c>
      <c r="O5" s="19" t="n">
        <v>6</v>
      </c>
      <c r="P5" s="19" t="n">
        <v>10</v>
      </c>
      <c r="Q5" s="19" t="n">
        <v>6</v>
      </c>
      <c r="R5" s="19" t="n">
        <v>10</v>
      </c>
      <c r="S5" s="19" t="n">
        <v>715.4000000000001</v>
      </c>
      <c r="T5" s="17" t="n">
        <v>0.08</v>
      </c>
      <c r="U5" s="17" t="n">
        <v>0.3</v>
      </c>
      <c r="V5" s="19" t="n">
        <v>4.736666666666667</v>
      </c>
      <c r="W5" s="14" t="inlineStr">
        <is>
          <t>no</t>
        </is>
      </c>
      <c r="X5" s="19" t="n">
        <v>0</v>
      </c>
      <c r="Y5" s="19" t="n">
        <v>0</v>
      </c>
      <c r="Z5" s="19" t="n">
        <v>0</v>
      </c>
      <c r="AA5" s="19" t="n">
        <v>0</v>
      </c>
      <c r="AB5" s="19" t="n">
        <v>0</v>
      </c>
      <c r="AC5" s="19" t="n">
        <v>0</v>
      </c>
      <c r="AD5" s="19" t="n">
        <v>0</v>
      </c>
      <c r="AE5" s="19" t="n">
        <v>0</v>
      </c>
      <c r="AF5" s="19" t="n">
        <v>0.3</v>
      </c>
      <c r="AG5" s="19" t="n">
        <v>0.5</v>
      </c>
      <c r="AH5" s="20">
        <f>F5*I5*L5</f>
        <v/>
      </c>
      <c r="AI5" s="20">
        <f>G5*J5*M5</f>
        <v/>
      </c>
      <c r="AJ5" s="20">
        <f>H5*K5*N5</f>
        <v/>
      </c>
      <c r="AK5" s="20">
        <f>AH5+AI5+AJ5</f>
        <v/>
      </c>
      <c r="AL5" s="21">
        <f>P5-O5</f>
        <v/>
      </c>
      <c r="AM5" s="21">
        <f>R5-Q5</f>
        <v/>
      </c>
      <c r="AN5" s="21">
        <f>F5*AL5</f>
        <v/>
      </c>
      <c r="AO5" s="21">
        <f>G5*AM5</f>
        <v/>
      </c>
      <c r="AP5" s="21">
        <f>H5*AM5</f>
        <v/>
      </c>
      <c r="AQ5" s="21" t="n">
        <v>192000</v>
      </c>
      <c r="AR5" s="21" t="n">
        <v>330000</v>
      </c>
      <c r="AS5" s="21" t="n">
        <v>450000</v>
      </c>
      <c r="AT5" s="21" t="n">
        <v>109885.44</v>
      </c>
      <c r="AU5" s="21" t="n">
        <v>54942.72</v>
      </c>
      <c r="AV5" s="21">
        <f>AT5*(1-Parameters!$B$5)</f>
        <v/>
      </c>
      <c r="AW5" s="21" t="n">
        <v>2728.32</v>
      </c>
      <c r="AX5" s="21" t="n">
        <v>1364.16</v>
      </c>
      <c r="AY5" s="21">
        <f>AW5*(1-Parameters!$B$5)</f>
        <v/>
      </c>
      <c r="AZ5" s="21" t="n">
        <v>283298.4</v>
      </c>
      <c r="BA5" s="21" t="n">
        <v>141649.2</v>
      </c>
      <c r="BB5" s="21" t="n">
        <v>7033.96</v>
      </c>
      <c r="BC5" s="21" t="n">
        <v>3516.98</v>
      </c>
      <c r="BD5" s="21" t="n">
        <v>450702</v>
      </c>
      <c r="BE5" s="21" t="n">
        <v>225351</v>
      </c>
      <c r="BF5" s="21" t="n">
        <v>11190.38</v>
      </c>
      <c r="BG5" s="21" t="n">
        <v>5595.19</v>
      </c>
      <c r="BH5" s="21" t="n">
        <v>0</v>
      </c>
      <c r="BI5" s="21" t="n">
        <v>0</v>
      </c>
      <c r="BJ5" s="21" t="n">
        <v>0</v>
      </c>
      <c r="BK5" s="21">
        <f>IF(LOWER(W5)="yes",X5,0)</f>
        <v/>
      </c>
      <c r="BL5" s="21">
        <f>IF(LOWER(W5)="yes",Z5,0)</f>
        <v/>
      </c>
      <c r="BM5" s="21">
        <f>IF(LOWER(W5)="yes",AB5,0)</f>
        <v/>
      </c>
      <c r="BN5" s="21">
        <f>AQ5+AU5+AX5+BH5+AD5</f>
        <v/>
      </c>
      <c r="BO5" s="21">
        <f>AR5+BA5+BC5+BI5</f>
        <v/>
      </c>
      <c r="BP5" s="21">
        <f>AS5+BE5+BG5+BJ5</f>
        <v/>
      </c>
      <c r="BQ5" s="21">
        <f>BN5+BO5+BP5</f>
        <v/>
      </c>
      <c r="BR5" s="21">
        <f>F5*(AF5+AG5)</f>
        <v/>
      </c>
      <c r="BS5" s="21">
        <f>G5*AG5</f>
        <v/>
      </c>
      <c r="BT5" s="21">
        <f>H5*AG5</f>
        <v/>
      </c>
      <c r="BU5" s="21">
        <f>BR5+BS5+BT5</f>
        <v/>
      </c>
      <c r="BV5" s="21">
        <f>BN5-BR5</f>
        <v/>
      </c>
      <c r="BW5" s="21">
        <f>BO5-BS5</f>
        <v/>
      </c>
      <c r="BX5" s="21">
        <f>BP5-BT5</f>
        <v/>
      </c>
      <c r="BY5" s="21">
        <f>BV5+BW5+BX5</f>
        <v/>
      </c>
      <c r="BZ5" s="22">
        <f>BN5*E5</f>
        <v/>
      </c>
      <c r="CA5" s="22">
        <f>BQ5*E5</f>
        <v/>
      </c>
      <c r="CB5" s="22">
        <f>BV5*E5</f>
        <v/>
      </c>
      <c r="CC5" s="22">
        <f>BY5*E5</f>
        <v/>
      </c>
      <c r="CD5" s="21">
        <f>AN5+AV5+AY5+AE5</f>
        <v/>
      </c>
      <c r="CE5" s="21">
        <f>AO5+AZ5*(1-Parameters!$B$5)+BB5*(1-Parameters!$B$5)</f>
        <v/>
      </c>
      <c r="CF5" s="21">
        <f>AP5+BD5*(1-Parameters!$B$5)+BF5*(1-Parameters!$B$5)</f>
        <v/>
      </c>
      <c r="CG5" s="21">
        <f>CD5+CE5+CF5</f>
        <v/>
      </c>
      <c r="CH5" s="21">
        <f>BK5</f>
        <v/>
      </c>
      <c r="CI5" s="21">
        <f>BL5</f>
        <v/>
      </c>
      <c r="CJ5" s="21">
        <f>BM5</f>
        <v/>
      </c>
      <c r="CK5" s="21">
        <f>CH5+CI5+CJ5</f>
        <v/>
      </c>
      <c r="CL5" s="21">
        <f>CD5-CH5</f>
        <v/>
      </c>
      <c r="CM5" s="21">
        <f>CE5-CI5</f>
        <v/>
      </c>
      <c r="CN5" s="21">
        <f>CF5-CJ5</f>
        <v/>
      </c>
      <c r="CO5" s="21">
        <f>CL5+CM5+CN5</f>
        <v/>
      </c>
      <c r="CP5" s="23">
        <f>IF(F5=0,0,CL5/F5)</f>
        <v/>
      </c>
      <c r="CQ5" s="23">
        <f>IF((F5+G5+H5)=0,0,CO5/(F5+G5+H5))</f>
        <v/>
      </c>
      <c r="CR5" s="22">
        <f>CL5*E5</f>
        <v/>
      </c>
      <c r="CS5" s="22">
        <f>CO5*E5</f>
        <v/>
      </c>
      <c r="CT5" s="21">
        <f>AT5+AW5</f>
        <v/>
      </c>
      <c r="CU5" s="21">
        <f>AQ5+BH5+AD5</f>
        <v/>
      </c>
      <c r="CV5" s="21">
        <f>AQ5</f>
        <v/>
      </c>
      <c r="CW5" s="22">
        <f>CV5*E5</f>
        <v/>
      </c>
    </row>
    <row r="6">
      <c r="A6" s="14" t="inlineStr">
        <is>
          <t>auscycling</t>
        </is>
      </c>
      <c r="B6" s="14" t="inlineStr">
        <is>
          <t>AusCycling Limited</t>
        </is>
      </c>
      <c r="C6" s="14" t="inlineStr">
        <is>
          <t>likely</t>
        </is>
      </c>
      <c r="D6" s="14" t="inlineStr">
        <is>
          <t>AUD</t>
        </is>
      </c>
      <c r="E6" s="15" t="n">
        <v>1</v>
      </c>
      <c r="F6" s="16" t="n">
        <v>55000</v>
      </c>
      <c r="G6" s="16" t="n">
        <v>75000</v>
      </c>
      <c r="H6" s="16" t="n">
        <v>90000</v>
      </c>
      <c r="I6" s="17" t="n">
        <v>0.042</v>
      </c>
      <c r="J6" s="17" t="n">
        <v>0.056</v>
      </c>
      <c r="K6" s="17" t="n">
        <v>0.07000000000000001</v>
      </c>
      <c r="L6" s="18" t="n">
        <v>1</v>
      </c>
      <c r="M6" s="18" t="n">
        <v>1</v>
      </c>
      <c r="N6" s="18" t="n">
        <v>1</v>
      </c>
      <c r="O6" s="19" t="n">
        <v>0</v>
      </c>
      <c r="P6" s="19" t="n">
        <v>0</v>
      </c>
      <c r="Q6" s="19" t="n">
        <v>0</v>
      </c>
      <c r="R6" s="19" t="n">
        <v>0</v>
      </c>
      <c r="S6" s="19" t="n">
        <v>583.1</v>
      </c>
      <c r="T6" s="17" t="n">
        <v>0.08</v>
      </c>
      <c r="U6" s="17" t="n">
        <v>0.3</v>
      </c>
      <c r="V6" s="19" t="n">
        <v>2.874660894660895</v>
      </c>
      <c r="W6" s="14" t="inlineStr">
        <is>
          <t>no</t>
        </is>
      </c>
      <c r="X6" s="19" t="n">
        <v>0</v>
      </c>
      <c r="Y6" s="19" t="n">
        <v>0</v>
      </c>
      <c r="Z6" s="19" t="n">
        <v>0</v>
      </c>
      <c r="AA6" s="19" t="n">
        <v>0</v>
      </c>
      <c r="AB6" s="19" t="n">
        <v>0</v>
      </c>
      <c r="AC6" s="19" t="n">
        <v>0</v>
      </c>
      <c r="AD6" s="19" t="n">
        <v>0</v>
      </c>
      <c r="AE6" s="19" t="n">
        <v>0</v>
      </c>
      <c r="AF6" s="19" t="n">
        <v>0.3</v>
      </c>
      <c r="AG6" s="19" t="n">
        <v>0.5</v>
      </c>
      <c r="AH6" s="20">
        <f>F6*I6*L6</f>
        <v/>
      </c>
      <c r="AI6" s="20">
        <f>G6*J6*M6</f>
        <v/>
      </c>
      <c r="AJ6" s="20">
        <f>H6*K6*N6</f>
        <v/>
      </c>
      <c r="AK6" s="20">
        <f>AH6+AI6+AJ6</f>
        <v/>
      </c>
      <c r="AL6" s="21">
        <f>P6-O6</f>
        <v/>
      </c>
      <c r="AM6" s="21">
        <f>R6-Q6</f>
        <v/>
      </c>
      <c r="AN6" s="21">
        <f>F6*AL6</f>
        <v/>
      </c>
      <c r="AO6" s="21">
        <f>G6*AM6</f>
        <v/>
      </c>
      <c r="AP6" s="21">
        <f>H6*AM6</f>
        <v/>
      </c>
      <c r="AQ6" s="21" t="n">
        <v>0</v>
      </c>
      <c r="AR6" s="21" t="n">
        <v>0</v>
      </c>
      <c r="AS6" s="21" t="n">
        <v>0</v>
      </c>
      <c r="AT6" s="21" t="n">
        <v>107756.88</v>
      </c>
      <c r="AU6" s="21" t="n">
        <v>53878.44</v>
      </c>
      <c r="AV6" s="21">
        <f>AT6*(1-Parameters!$B$5)</f>
        <v/>
      </c>
      <c r="AW6" s="21" t="n">
        <v>1992.14</v>
      </c>
      <c r="AX6" s="21" t="n">
        <v>996.0700000000001</v>
      </c>
      <c r="AY6" s="21">
        <f>AW6*(1-Parameters!$B$5)</f>
        <v/>
      </c>
      <c r="AZ6" s="21" t="n">
        <v>195921.6</v>
      </c>
      <c r="BA6" s="21" t="n">
        <v>97960.8</v>
      </c>
      <c r="BB6" s="21" t="n">
        <v>3622.08</v>
      </c>
      <c r="BC6" s="21" t="n">
        <v>1811.04</v>
      </c>
      <c r="BD6" s="21" t="n">
        <v>293882.4</v>
      </c>
      <c r="BE6" s="21" t="n">
        <v>146941.2</v>
      </c>
      <c r="BF6" s="21" t="n">
        <v>5433.12</v>
      </c>
      <c r="BG6" s="21" t="n">
        <v>2716.56</v>
      </c>
      <c r="BH6" s="21" t="n">
        <v>0</v>
      </c>
      <c r="BI6" s="21" t="n">
        <v>0</v>
      </c>
      <c r="BJ6" s="21" t="n">
        <v>0</v>
      </c>
      <c r="BK6" s="21">
        <f>IF(LOWER(W6)="yes",X6,0)</f>
        <v/>
      </c>
      <c r="BL6" s="21">
        <f>IF(LOWER(W6)="yes",Z6,0)</f>
        <v/>
      </c>
      <c r="BM6" s="21">
        <f>IF(LOWER(W6)="yes",AB6,0)</f>
        <v/>
      </c>
      <c r="BN6" s="21">
        <f>AQ6+AU6+AX6+BH6+AD6</f>
        <v/>
      </c>
      <c r="BO6" s="21">
        <f>AR6+BA6+BC6+BI6</f>
        <v/>
      </c>
      <c r="BP6" s="21">
        <f>AS6+BE6+BG6+BJ6</f>
        <v/>
      </c>
      <c r="BQ6" s="21">
        <f>BN6+BO6+BP6</f>
        <v/>
      </c>
      <c r="BR6" s="21">
        <f>F6*(AF6+AG6)</f>
        <v/>
      </c>
      <c r="BS6" s="21">
        <f>G6*AG6</f>
        <v/>
      </c>
      <c r="BT6" s="21">
        <f>H6*AG6</f>
        <v/>
      </c>
      <c r="BU6" s="21">
        <f>BR6+BS6+BT6</f>
        <v/>
      </c>
      <c r="BV6" s="21">
        <f>BN6-BR6</f>
        <v/>
      </c>
      <c r="BW6" s="21">
        <f>BO6-BS6</f>
        <v/>
      </c>
      <c r="BX6" s="21">
        <f>BP6-BT6</f>
        <v/>
      </c>
      <c r="BY6" s="21">
        <f>BV6+BW6+BX6</f>
        <v/>
      </c>
      <c r="BZ6" s="22">
        <f>BN6*E6</f>
        <v/>
      </c>
      <c r="CA6" s="22">
        <f>BQ6*E6</f>
        <v/>
      </c>
      <c r="CB6" s="22">
        <f>BV6*E6</f>
        <v/>
      </c>
      <c r="CC6" s="22">
        <f>BY6*E6</f>
        <v/>
      </c>
      <c r="CD6" s="21">
        <f>AN6+AV6+AY6+AE6</f>
        <v/>
      </c>
      <c r="CE6" s="21">
        <f>AO6+AZ6*(1-Parameters!$B$5)+BB6*(1-Parameters!$B$5)</f>
        <v/>
      </c>
      <c r="CF6" s="21">
        <f>AP6+BD6*(1-Parameters!$B$5)+BF6*(1-Parameters!$B$5)</f>
        <v/>
      </c>
      <c r="CG6" s="21">
        <f>CD6+CE6+CF6</f>
        <v/>
      </c>
      <c r="CH6" s="21">
        <f>BK6</f>
        <v/>
      </c>
      <c r="CI6" s="21">
        <f>BL6</f>
        <v/>
      </c>
      <c r="CJ6" s="21">
        <f>BM6</f>
        <v/>
      </c>
      <c r="CK6" s="21">
        <f>CH6+CI6+CJ6</f>
        <v/>
      </c>
      <c r="CL6" s="21">
        <f>CD6-CH6</f>
        <v/>
      </c>
      <c r="CM6" s="21">
        <f>CE6-CI6</f>
        <v/>
      </c>
      <c r="CN6" s="21">
        <f>CF6-CJ6</f>
        <v/>
      </c>
      <c r="CO6" s="21">
        <f>CL6+CM6+CN6</f>
        <v/>
      </c>
      <c r="CP6" s="23">
        <f>IF(F6=0,0,CL6/F6)</f>
        <v/>
      </c>
      <c r="CQ6" s="23">
        <f>IF((F6+G6+H6)=0,0,CO6/(F6+G6+H6))</f>
        <v/>
      </c>
      <c r="CR6" s="22">
        <f>CL6*E6</f>
        <v/>
      </c>
      <c r="CS6" s="22">
        <f>CO6*E6</f>
        <v/>
      </c>
      <c r="CT6" s="21">
        <f>AT6+AW6</f>
        <v/>
      </c>
      <c r="CU6" s="21">
        <f>AQ6+BH6+AD6</f>
        <v/>
      </c>
      <c r="CV6" s="21">
        <f>AQ6</f>
        <v/>
      </c>
      <c r="CW6" s="22">
        <f>CV6*E6</f>
        <v/>
      </c>
    </row>
    <row r="7">
      <c r="A7" s="14" t="inlineStr">
        <is>
          <t>golfcanada</t>
        </is>
      </c>
      <c r="B7" s="14" t="inlineStr">
        <is>
          <t>Golf Canada</t>
        </is>
      </c>
      <c r="C7" s="14" t="inlineStr">
        <is>
          <t>base</t>
        </is>
      </c>
      <c r="D7" s="14" t="inlineStr">
        <is>
          <t>USD</t>
        </is>
      </c>
      <c r="E7" s="15" t="n">
        <v>1.55</v>
      </c>
      <c r="F7" s="16" t="n">
        <v>87000</v>
      </c>
      <c r="G7" s="16" t="n">
        <v>100000</v>
      </c>
      <c r="H7" s="16" t="n">
        <v>125000</v>
      </c>
      <c r="I7" s="17" t="n">
        <v>0.011</v>
      </c>
      <c r="J7" s="17" t="n">
        <v>0.022</v>
      </c>
      <c r="K7" s="17" t="n">
        <v>0.027504</v>
      </c>
      <c r="L7" s="18" t="n">
        <v>1</v>
      </c>
      <c r="M7" s="18" t="n">
        <v>1</v>
      </c>
      <c r="N7" s="18" t="n">
        <v>1</v>
      </c>
      <c r="O7" s="19" t="n">
        <v>6</v>
      </c>
      <c r="P7" s="19" t="n">
        <v>9</v>
      </c>
      <c r="Q7" s="19" t="n">
        <v>6</v>
      </c>
      <c r="R7" s="19" t="n">
        <v>9</v>
      </c>
      <c r="S7" s="19" t="n">
        <v>289.5901253918495</v>
      </c>
      <c r="T7" s="17" t="n">
        <v>0.08</v>
      </c>
      <c r="U7" s="17" t="n">
        <v>0.3</v>
      </c>
      <c r="V7" s="19" t="n">
        <v>1.780355276907001</v>
      </c>
      <c r="W7" s="14" t="inlineStr">
        <is>
          <t>no</t>
        </is>
      </c>
      <c r="X7" s="19" t="n">
        <v>0</v>
      </c>
      <c r="Y7" s="19" t="n">
        <v>0</v>
      </c>
      <c r="Z7" s="19" t="n">
        <v>0</v>
      </c>
      <c r="AA7" s="19" t="n">
        <v>0</v>
      </c>
      <c r="AB7" s="19" t="n">
        <v>0</v>
      </c>
      <c r="AC7" s="19" t="n">
        <v>0</v>
      </c>
      <c r="AD7" s="19" t="n">
        <v>0</v>
      </c>
      <c r="AE7" s="19" t="n">
        <v>0</v>
      </c>
      <c r="AF7" s="19" t="n">
        <v>0.3</v>
      </c>
      <c r="AG7" s="19" t="n">
        <v>0.5</v>
      </c>
      <c r="AH7" s="20">
        <f>F7*I7*L7</f>
        <v/>
      </c>
      <c r="AI7" s="20">
        <f>G7*J7*M7</f>
        <v/>
      </c>
      <c r="AJ7" s="20">
        <f>H7*K7*N7</f>
        <v/>
      </c>
      <c r="AK7" s="20">
        <f>AH7+AI7+AJ7</f>
        <v/>
      </c>
      <c r="AL7" s="21">
        <f>P7-O7</f>
        <v/>
      </c>
      <c r="AM7" s="21">
        <f>R7-Q7</f>
        <v/>
      </c>
      <c r="AN7" s="21">
        <f>F7*AL7</f>
        <v/>
      </c>
      <c r="AO7" s="21">
        <f>G7*AM7</f>
        <v/>
      </c>
      <c r="AP7" s="21">
        <f>H7*AM7</f>
        <v/>
      </c>
      <c r="AQ7" s="21" t="n">
        <v>522000</v>
      </c>
      <c r="AR7" s="21" t="n">
        <v>600000</v>
      </c>
      <c r="AS7" s="21" t="n">
        <v>750000</v>
      </c>
      <c r="AT7" s="21" t="n">
        <v>22171.02</v>
      </c>
      <c r="AU7" s="21" t="n">
        <v>11085.51</v>
      </c>
      <c r="AV7" s="21">
        <f>AT7*(1-Parameters!$B$5)</f>
        <v/>
      </c>
      <c r="AW7" s="21" t="n">
        <v>511.14</v>
      </c>
      <c r="AX7" s="21" t="n">
        <v>255.57</v>
      </c>
      <c r="AY7" s="21">
        <f>AW7*(1-Parameters!$B$5)</f>
        <v/>
      </c>
      <c r="AZ7" s="21" t="n">
        <v>50967.84</v>
      </c>
      <c r="BA7" s="21" t="n">
        <v>25483.92</v>
      </c>
      <c r="BB7" s="21" t="n">
        <v>1175.02</v>
      </c>
      <c r="BC7" s="21" t="n">
        <v>587.51</v>
      </c>
      <c r="BD7" s="21" t="n">
        <v>79637.25999999999</v>
      </c>
      <c r="BE7" s="21" t="n">
        <v>39818.63</v>
      </c>
      <c r="BF7" s="21" t="n">
        <v>1835.96</v>
      </c>
      <c r="BG7" s="21" t="n">
        <v>917.98</v>
      </c>
      <c r="BH7" s="21" t="n">
        <v>0</v>
      </c>
      <c r="BI7" s="21" t="n">
        <v>0</v>
      </c>
      <c r="BJ7" s="21" t="n">
        <v>0</v>
      </c>
      <c r="BK7" s="21">
        <f>IF(LOWER(W7)="yes",X7,0)</f>
        <v/>
      </c>
      <c r="BL7" s="21">
        <f>IF(LOWER(W7)="yes",Z7,0)</f>
        <v/>
      </c>
      <c r="BM7" s="21">
        <f>IF(LOWER(W7)="yes",AB7,0)</f>
        <v/>
      </c>
      <c r="BN7" s="21">
        <f>AQ7+AU7+AX7+BH7+AD7</f>
        <v/>
      </c>
      <c r="BO7" s="21">
        <f>AR7+BA7+BC7+BI7</f>
        <v/>
      </c>
      <c r="BP7" s="21">
        <f>AS7+BE7+BG7+BJ7</f>
        <v/>
      </c>
      <c r="BQ7" s="21">
        <f>BN7+BO7+BP7</f>
        <v/>
      </c>
      <c r="BR7" s="21">
        <f>F7*(AF7+AG7)</f>
        <v/>
      </c>
      <c r="BS7" s="21">
        <f>G7*AG7</f>
        <v/>
      </c>
      <c r="BT7" s="21">
        <f>H7*AG7</f>
        <v/>
      </c>
      <c r="BU7" s="21">
        <f>BR7+BS7+BT7</f>
        <v/>
      </c>
      <c r="BV7" s="21">
        <f>BN7-BR7</f>
        <v/>
      </c>
      <c r="BW7" s="21">
        <f>BO7-BS7</f>
        <v/>
      </c>
      <c r="BX7" s="21">
        <f>BP7-BT7</f>
        <v/>
      </c>
      <c r="BY7" s="21">
        <f>BV7+BW7+BX7</f>
        <v/>
      </c>
      <c r="BZ7" s="22">
        <f>BN7*E7</f>
        <v/>
      </c>
      <c r="CA7" s="22">
        <f>BQ7*E7</f>
        <v/>
      </c>
      <c r="CB7" s="22">
        <f>BV7*E7</f>
        <v/>
      </c>
      <c r="CC7" s="22">
        <f>BY7*E7</f>
        <v/>
      </c>
      <c r="CD7" s="21">
        <f>AN7+AV7+AY7+AE7</f>
        <v/>
      </c>
      <c r="CE7" s="21">
        <f>AO7+AZ7*(1-Parameters!$B$5)+BB7*(1-Parameters!$B$5)</f>
        <v/>
      </c>
      <c r="CF7" s="21">
        <f>AP7+BD7*(1-Parameters!$B$5)+BF7*(1-Parameters!$B$5)</f>
        <v/>
      </c>
      <c r="CG7" s="21">
        <f>CD7+CE7+CF7</f>
        <v/>
      </c>
      <c r="CH7" s="21">
        <f>BK7</f>
        <v/>
      </c>
      <c r="CI7" s="21">
        <f>BL7</f>
        <v/>
      </c>
      <c r="CJ7" s="21">
        <f>BM7</f>
        <v/>
      </c>
      <c r="CK7" s="21">
        <f>CH7+CI7+CJ7</f>
        <v/>
      </c>
      <c r="CL7" s="21">
        <f>CD7-CH7</f>
        <v/>
      </c>
      <c r="CM7" s="21">
        <f>CE7-CI7</f>
        <v/>
      </c>
      <c r="CN7" s="21">
        <f>CF7-CJ7</f>
        <v/>
      </c>
      <c r="CO7" s="21">
        <f>CL7+CM7+CN7</f>
        <v/>
      </c>
      <c r="CP7" s="23">
        <f>IF(F7=0,0,CL7/F7)</f>
        <v/>
      </c>
      <c r="CQ7" s="23">
        <f>IF((F7+G7+H7)=0,0,CO7/(F7+G7+H7))</f>
        <v/>
      </c>
      <c r="CR7" s="22">
        <f>CL7*E7</f>
        <v/>
      </c>
      <c r="CS7" s="22">
        <f>CO7*E7</f>
        <v/>
      </c>
      <c r="CT7" s="21">
        <f>AT7+AW7</f>
        <v/>
      </c>
      <c r="CU7" s="21">
        <f>AQ7+BH7+AD7</f>
        <v/>
      </c>
      <c r="CV7" s="21">
        <f>AQ7</f>
        <v/>
      </c>
      <c r="CW7" s="22">
        <f>CV7*E7</f>
        <v/>
      </c>
    </row>
    <row r="8">
      <c r="A8" s="14" t="inlineStr">
        <is>
          <t>golfcanada</t>
        </is>
      </c>
      <c r="B8" s="14" t="inlineStr">
        <is>
          <t>Golf Canada</t>
        </is>
      </c>
      <c r="C8" s="14" t="inlineStr">
        <is>
          <t>high</t>
        </is>
      </c>
      <c r="D8" s="14" t="inlineStr">
        <is>
          <t>USD</t>
        </is>
      </c>
      <c r="E8" s="15" t="n">
        <v>1.55</v>
      </c>
      <c r="F8" s="16" t="n">
        <v>33000</v>
      </c>
      <c r="G8" s="16" t="n">
        <v>39000</v>
      </c>
      <c r="H8" s="16" t="n">
        <v>45000</v>
      </c>
      <c r="I8" s="17" t="n">
        <v>0.24</v>
      </c>
      <c r="J8" s="17" t="n">
        <v>0.3</v>
      </c>
      <c r="K8" s="17" t="n">
        <v>0.36</v>
      </c>
      <c r="L8" s="18" t="n">
        <v>1</v>
      </c>
      <c r="M8" s="18" t="n">
        <v>1</v>
      </c>
      <c r="N8" s="18" t="n">
        <v>1</v>
      </c>
      <c r="O8" s="19" t="n">
        <v>6</v>
      </c>
      <c r="P8" s="19" t="n">
        <v>12</v>
      </c>
      <c r="Q8" s="19" t="n">
        <v>6</v>
      </c>
      <c r="R8" s="19" t="n">
        <v>12</v>
      </c>
      <c r="S8" s="19" t="n">
        <v>866.5649936868685</v>
      </c>
      <c r="T8" s="17" t="n">
        <v>0.08</v>
      </c>
      <c r="U8" s="17" t="n">
        <v>0.3</v>
      </c>
      <c r="V8" s="19" t="n">
        <v>20.83479797979798</v>
      </c>
      <c r="W8" s="14" t="inlineStr">
        <is>
          <t>yes</t>
        </is>
      </c>
      <c r="X8" s="19" t="n">
        <v>68750</v>
      </c>
      <c r="Y8" s="19" t="n">
        <v>0</v>
      </c>
      <c r="Z8" s="19" t="n">
        <v>100000</v>
      </c>
      <c r="AA8" s="19" t="n">
        <v>0</v>
      </c>
      <c r="AB8" s="19" t="n">
        <v>100000</v>
      </c>
      <c r="AC8" s="19" t="n">
        <v>0</v>
      </c>
      <c r="AD8" s="19" t="n">
        <v>0</v>
      </c>
      <c r="AE8" s="19" t="n">
        <v>0</v>
      </c>
      <c r="AF8" s="19" t="n">
        <v>0.3</v>
      </c>
      <c r="AG8" s="19" t="n">
        <v>0.5</v>
      </c>
      <c r="AH8" s="20">
        <f>F8*I8*L8</f>
        <v/>
      </c>
      <c r="AI8" s="20">
        <f>G8*J8*M8</f>
        <v/>
      </c>
      <c r="AJ8" s="20">
        <f>H8*K8*N8</f>
        <v/>
      </c>
      <c r="AK8" s="20">
        <f>AH8+AI8+AJ8</f>
        <v/>
      </c>
      <c r="AL8" s="21">
        <f>P8-O8</f>
        <v/>
      </c>
      <c r="AM8" s="21">
        <f>R8-Q8</f>
        <v/>
      </c>
      <c r="AN8" s="21">
        <f>F8*AL8</f>
        <v/>
      </c>
      <c r="AO8" s="21">
        <f>G8*AM8</f>
        <v/>
      </c>
      <c r="AP8" s="21">
        <f>H8*AM8</f>
        <v/>
      </c>
      <c r="AQ8" s="21" t="n">
        <v>198000</v>
      </c>
      <c r="AR8" s="21" t="n">
        <v>234000</v>
      </c>
      <c r="AS8" s="21" t="n">
        <v>270000</v>
      </c>
      <c r="AT8" s="21" t="n">
        <v>549055.58</v>
      </c>
      <c r="AU8" s="21" t="n">
        <v>274527.79</v>
      </c>
      <c r="AV8" s="21">
        <f>AT8*(1-Parameters!$B$5)</f>
        <v/>
      </c>
      <c r="AW8" s="21" t="n">
        <v>49503.48</v>
      </c>
      <c r="AX8" s="21" t="n">
        <v>24751.74</v>
      </c>
      <c r="AY8" s="21">
        <f>AW8*(1-Parameters!$B$5)</f>
        <v/>
      </c>
      <c r="AZ8" s="21" t="n">
        <v>811104.84</v>
      </c>
      <c r="BA8" s="21" t="n">
        <v>405552.42</v>
      </c>
      <c r="BB8" s="21" t="n">
        <v>73130.14</v>
      </c>
      <c r="BC8" s="21" t="n">
        <v>36565.07</v>
      </c>
      <c r="BD8" s="21" t="n">
        <v>1123068.24</v>
      </c>
      <c r="BE8" s="21" t="n">
        <v>561534.12</v>
      </c>
      <c r="BF8" s="21" t="n">
        <v>101257.12</v>
      </c>
      <c r="BG8" s="21" t="n">
        <v>50628.56</v>
      </c>
      <c r="BH8" s="21" t="n">
        <v>68750</v>
      </c>
      <c r="BI8" s="21" t="n">
        <v>100000</v>
      </c>
      <c r="BJ8" s="21" t="n">
        <v>100000</v>
      </c>
      <c r="BK8" s="21">
        <f>IF(LOWER(W8)="yes",X8,0)</f>
        <v/>
      </c>
      <c r="BL8" s="21">
        <f>IF(LOWER(W8)="yes",Z8,0)</f>
        <v/>
      </c>
      <c r="BM8" s="21">
        <f>IF(LOWER(W8)="yes",AB8,0)</f>
        <v/>
      </c>
      <c r="BN8" s="21">
        <f>AQ8+AU8+AX8+BH8+AD8</f>
        <v/>
      </c>
      <c r="BO8" s="21">
        <f>AR8+BA8+BC8+BI8</f>
        <v/>
      </c>
      <c r="BP8" s="21">
        <f>AS8+BE8+BG8+BJ8</f>
        <v/>
      </c>
      <c r="BQ8" s="21">
        <f>BN8+BO8+BP8</f>
        <v/>
      </c>
      <c r="BR8" s="21">
        <f>F8*(AF8+AG8)</f>
        <v/>
      </c>
      <c r="BS8" s="21">
        <f>G8*AG8</f>
        <v/>
      </c>
      <c r="BT8" s="21">
        <f>H8*AG8</f>
        <v/>
      </c>
      <c r="BU8" s="21">
        <f>BR8+BS8+BT8</f>
        <v/>
      </c>
      <c r="BV8" s="21">
        <f>BN8-BR8</f>
        <v/>
      </c>
      <c r="BW8" s="21">
        <f>BO8-BS8</f>
        <v/>
      </c>
      <c r="BX8" s="21">
        <f>BP8-BT8</f>
        <v/>
      </c>
      <c r="BY8" s="21">
        <f>BV8+BW8+BX8</f>
        <v/>
      </c>
      <c r="BZ8" s="22">
        <f>BN8*E8</f>
        <v/>
      </c>
      <c r="CA8" s="22">
        <f>BQ8*E8</f>
        <v/>
      </c>
      <c r="CB8" s="22">
        <f>BV8*E8</f>
        <v/>
      </c>
      <c r="CC8" s="22">
        <f>BY8*E8</f>
        <v/>
      </c>
      <c r="CD8" s="21">
        <f>AN8+AV8+AY8+AE8</f>
        <v/>
      </c>
      <c r="CE8" s="21">
        <f>AO8+AZ8*(1-Parameters!$B$5)+BB8*(1-Parameters!$B$5)</f>
        <v/>
      </c>
      <c r="CF8" s="21">
        <f>AP8+BD8*(1-Parameters!$B$5)+BF8*(1-Parameters!$B$5)</f>
        <v/>
      </c>
      <c r="CG8" s="21">
        <f>CD8+CE8+CF8</f>
        <v/>
      </c>
      <c r="CH8" s="21">
        <f>BK8</f>
        <v/>
      </c>
      <c r="CI8" s="21">
        <f>BL8</f>
        <v/>
      </c>
      <c r="CJ8" s="21">
        <f>BM8</f>
        <v/>
      </c>
      <c r="CK8" s="21">
        <f>CH8+CI8+CJ8</f>
        <v/>
      </c>
      <c r="CL8" s="21">
        <f>CD8-CH8</f>
        <v/>
      </c>
      <c r="CM8" s="21">
        <f>CE8-CI8</f>
        <v/>
      </c>
      <c r="CN8" s="21">
        <f>CF8-CJ8</f>
        <v/>
      </c>
      <c r="CO8" s="21">
        <f>CL8+CM8+CN8</f>
        <v/>
      </c>
      <c r="CP8" s="23">
        <f>IF(F8=0,0,CL8/F8)</f>
        <v/>
      </c>
      <c r="CQ8" s="23">
        <f>IF((F8+G8+H8)=0,0,CO8/(F8+G8+H8))</f>
        <v/>
      </c>
      <c r="CR8" s="22">
        <f>CL8*E8</f>
        <v/>
      </c>
      <c r="CS8" s="22">
        <f>CO8*E8</f>
        <v/>
      </c>
      <c r="CT8" s="21">
        <f>AT8+AW8</f>
        <v/>
      </c>
      <c r="CU8" s="21">
        <f>AQ8+BH8+AD8</f>
        <v/>
      </c>
      <c r="CV8" s="21">
        <f>AQ8</f>
        <v/>
      </c>
      <c r="CW8" s="22">
        <f>CV8*E8</f>
        <v/>
      </c>
    </row>
    <row r="9">
      <c r="A9" s="14" t="inlineStr">
        <is>
          <t>golfcanada</t>
        </is>
      </c>
      <c r="B9" s="14" t="inlineStr">
        <is>
          <t>Golf Canada</t>
        </is>
      </c>
      <c r="C9" s="14" t="inlineStr">
        <is>
          <t>likely</t>
        </is>
      </c>
      <c r="D9" s="14" t="inlineStr">
        <is>
          <t>USD</t>
        </is>
      </c>
      <c r="E9" s="15" t="n">
        <v>1.55</v>
      </c>
      <c r="F9" s="16" t="n">
        <v>30000</v>
      </c>
      <c r="G9" s="16" t="n">
        <v>33000</v>
      </c>
      <c r="H9" s="16" t="n">
        <v>36000</v>
      </c>
      <c r="I9" s="17" t="n">
        <v>0.105</v>
      </c>
      <c r="J9" s="17" t="n">
        <v>0.105</v>
      </c>
      <c r="K9" s="17" t="n">
        <v>0.105</v>
      </c>
      <c r="L9" s="18" t="n">
        <v>1</v>
      </c>
      <c r="M9" s="18" t="n">
        <v>1</v>
      </c>
      <c r="N9" s="18" t="n">
        <v>1</v>
      </c>
      <c r="O9" s="19" t="n">
        <v>6</v>
      </c>
      <c r="P9" s="19" t="n">
        <v>9</v>
      </c>
      <c r="Q9" s="19" t="n">
        <v>6</v>
      </c>
      <c r="R9" s="19" t="n">
        <v>9</v>
      </c>
      <c r="S9" s="19" t="n">
        <v>698.005</v>
      </c>
      <c r="T9" s="17" t="n">
        <v>0.08</v>
      </c>
      <c r="U9" s="17" t="n">
        <v>0.3</v>
      </c>
      <c r="V9" s="19" t="n">
        <v>13.56319576719577</v>
      </c>
      <c r="W9" s="14" t="inlineStr">
        <is>
          <t>yes</t>
        </is>
      </c>
      <c r="X9" s="19" t="n">
        <v>87500</v>
      </c>
      <c r="Y9" s="19" t="n">
        <v>0</v>
      </c>
      <c r="Z9" s="19" t="n">
        <v>100000</v>
      </c>
      <c r="AA9" s="19" t="n">
        <v>0</v>
      </c>
      <c r="AB9" s="19" t="n">
        <v>100000</v>
      </c>
      <c r="AC9" s="19" t="n">
        <v>0</v>
      </c>
      <c r="AD9" s="19" t="n">
        <v>0</v>
      </c>
      <c r="AE9" s="19" t="n">
        <v>0</v>
      </c>
      <c r="AF9" s="19" t="n">
        <v>0.3</v>
      </c>
      <c r="AG9" s="19" t="n">
        <v>0.5</v>
      </c>
      <c r="AH9" s="20">
        <f>F9*I9*L9</f>
        <v/>
      </c>
      <c r="AI9" s="20">
        <f>G9*J9*M9</f>
        <v/>
      </c>
      <c r="AJ9" s="20">
        <f>H9*K9*N9</f>
        <v/>
      </c>
      <c r="AK9" s="20">
        <f>AH9+AI9+AJ9</f>
        <v/>
      </c>
      <c r="AL9" s="21">
        <f>P9-O9</f>
        <v/>
      </c>
      <c r="AM9" s="21">
        <f>R9-Q9</f>
        <v/>
      </c>
      <c r="AN9" s="21">
        <f>F9*AL9</f>
        <v/>
      </c>
      <c r="AO9" s="21">
        <f>G9*AM9</f>
        <v/>
      </c>
      <c r="AP9" s="21">
        <f>H9*AM9</f>
        <v/>
      </c>
      <c r="AQ9" s="21" t="n">
        <v>180000</v>
      </c>
      <c r="AR9" s="21" t="n">
        <v>198000</v>
      </c>
      <c r="AS9" s="21" t="n">
        <v>216000</v>
      </c>
      <c r="AT9" s="21" t="n">
        <v>175897.26</v>
      </c>
      <c r="AU9" s="21" t="n">
        <v>87948.63</v>
      </c>
      <c r="AV9" s="21">
        <f>AT9*(1-Parameters!$B$5)</f>
        <v/>
      </c>
      <c r="AW9" s="21" t="n">
        <v>12817.22</v>
      </c>
      <c r="AX9" s="21" t="n">
        <v>6408.61</v>
      </c>
      <c r="AY9" s="21">
        <f>AW9*(1-Parameters!$B$5)</f>
        <v/>
      </c>
      <c r="AZ9" s="21" t="n">
        <v>193486.98</v>
      </c>
      <c r="BA9" s="21" t="n">
        <v>96743.49000000001</v>
      </c>
      <c r="BB9" s="21" t="n">
        <v>14098.94</v>
      </c>
      <c r="BC9" s="21" t="n">
        <v>7049.47</v>
      </c>
      <c r="BD9" s="21" t="n">
        <v>211076.72</v>
      </c>
      <c r="BE9" s="21" t="n">
        <v>105538.36</v>
      </c>
      <c r="BF9" s="21" t="n">
        <v>15380.66</v>
      </c>
      <c r="BG9" s="21" t="n">
        <v>7690.33</v>
      </c>
      <c r="BH9" s="21" t="n">
        <v>87500</v>
      </c>
      <c r="BI9" s="21" t="n">
        <v>100000</v>
      </c>
      <c r="BJ9" s="21" t="n">
        <v>100000</v>
      </c>
      <c r="BK9" s="21">
        <f>IF(LOWER(W9)="yes",X9,0)</f>
        <v/>
      </c>
      <c r="BL9" s="21">
        <f>IF(LOWER(W9)="yes",Z9,0)</f>
        <v/>
      </c>
      <c r="BM9" s="21">
        <f>IF(LOWER(W9)="yes",AB9,0)</f>
        <v/>
      </c>
      <c r="BN9" s="21">
        <f>AQ9+AU9+AX9+BH9+AD9</f>
        <v/>
      </c>
      <c r="BO9" s="21">
        <f>AR9+BA9+BC9+BI9</f>
        <v/>
      </c>
      <c r="BP9" s="21">
        <f>AS9+BE9+BG9+BJ9</f>
        <v/>
      </c>
      <c r="BQ9" s="21">
        <f>BN9+BO9+BP9</f>
        <v/>
      </c>
      <c r="BR9" s="21">
        <f>F9*(AF9+AG9)</f>
        <v/>
      </c>
      <c r="BS9" s="21">
        <f>G9*AG9</f>
        <v/>
      </c>
      <c r="BT9" s="21">
        <f>H9*AG9</f>
        <v/>
      </c>
      <c r="BU9" s="21">
        <f>BR9+BS9+BT9</f>
        <v/>
      </c>
      <c r="BV9" s="21">
        <f>BN9-BR9</f>
        <v/>
      </c>
      <c r="BW9" s="21">
        <f>BO9-BS9</f>
        <v/>
      </c>
      <c r="BX9" s="21">
        <f>BP9-BT9</f>
        <v/>
      </c>
      <c r="BY9" s="21">
        <f>BV9+BW9+BX9</f>
        <v/>
      </c>
      <c r="BZ9" s="22">
        <f>BN9*E9</f>
        <v/>
      </c>
      <c r="CA9" s="22">
        <f>BQ9*E9</f>
        <v/>
      </c>
      <c r="CB9" s="22">
        <f>BV9*E9</f>
        <v/>
      </c>
      <c r="CC9" s="22">
        <f>BY9*E9</f>
        <v/>
      </c>
      <c r="CD9" s="21">
        <f>AN9+AV9+AY9+AE9</f>
        <v/>
      </c>
      <c r="CE9" s="21">
        <f>AO9+AZ9*(1-Parameters!$B$5)+BB9*(1-Parameters!$B$5)</f>
        <v/>
      </c>
      <c r="CF9" s="21">
        <f>AP9+BD9*(1-Parameters!$B$5)+BF9*(1-Parameters!$B$5)</f>
        <v/>
      </c>
      <c r="CG9" s="21">
        <f>CD9+CE9+CF9</f>
        <v/>
      </c>
      <c r="CH9" s="21">
        <f>BK9</f>
        <v/>
      </c>
      <c r="CI9" s="21">
        <f>BL9</f>
        <v/>
      </c>
      <c r="CJ9" s="21">
        <f>BM9</f>
        <v/>
      </c>
      <c r="CK9" s="21">
        <f>CH9+CI9+CJ9</f>
        <v/>
      </c>
      <c r="CL9" s="21">
        <f>CD9-CH9</f>
        <v/>
      </c>
      <c r="CM9" s="21">
        <f>CE9-CI9</f>
        <v/>
      </c>
      <c r="CN9" s="21">
        <f>CF9-CJ9</f>
        <v/>
      </c>
      <c r="CO9" s="21">
        <f>CL9+CM9+CN9</f>
        <v/>
      </c>
      <c r="CP9" s="23">
        <f>IF(F9=0,0,CL9/F9)</f>
        <v/>
      </c>
      <c r="CQ9" s="23">
        <f>IF((F9+G9+H9)=0,0,CO9/(F9+G9+H9))</f>
        <v/>
      </c>
      <c r="CR9" s="22">
        <f>CL9*E9</f>
        <v/>
      </c>
      <c r="CS9" s="22">
        <f>CO9*E9</f>
        <v/>
      </c>
      <c r="CT9" s="21">
        <f>AT9+AW9</f>
        <v/>
      </c>
      <c r="CU9" s="21">
        <f>AQ9+BH9+AD9</f>
        <v/>
      </c>
      <c r="CV9" s="21">
        <f>AQ9</f>
        <v/>
      </c>
      <c r="CW9" s="22">
        <f>CV9*E9</f>
        <v/>
      </c>
    </row>
    <row r="10">
      <c r="A10" s="14" t="inlineStr">
        <is>
          <t>npl</t>
        </is>
      </c>
      <c r="B10" s="14" t="inlineStr">
        <is>
          <t>NPL Australia</t>
        </is>
      </c>
      <c r="C10" s="14" t="inlineStr">
        <is>
          <t>base</t>
        </is>
      </c>
      <c r="D10" s="14" t="inlineStr">
        <is>
          <t>AUD</t>
        </is>
      </c>
      <c r="E10" s="15" t="n">
        <v>1</v>
      </c>
      <c r="F10" s="16" t="n">
        <v>5000</v>
      </c>
      <c r="G10" s="16" t="n">
        <v>10000</v>
      </c>
      <c r="H10" s="16" t="n">
        <v>18000</v>
      </c>
      <c r="I10" s="17" t="n">
        <v>0.0276</v>
      </c>
      <c r="J10" s="17" t="n">
        <v>0.033</v>
      </c>
      <c r="K10" s="17" t="n">
        <v>0.044</v>
      </c>
      <c r="L10" s="18" t="n">
        <v>1</v>
      </c>
      <c r="M10" s="18" t="n">
        <v>1</v>
      </c>
      <c r="N10" s="18" t="n">
        <v>1</v>
      </c>
      <c r="O10" s="19" t="n">
        <v>4</v>
      </c>
      <c r="P10" s="19" t="n">
        <v>7</v>
      </c>
      <c r="Q10" s="19" t="n">
        <v>4</v>
      </c>
      <c r="R10" s="19" t="n">
        <v>7</v>
      </c>
      <c r="S10" s="19" t="n">
        <v>390.5797101449275</v>
      </c>
      <c r="T10" s="17" t="n">
        <v>0.08</v>
      </c>
      <c r="U10" s="17" t="n">
        <v>0.3</v>
      </c>
      <c r="V10" s="19" t="n">
        <v>3.321739130434783</v>
      </c>
      <c r="W10" s="14" t="inlineStr">
        <is>
          <t>no</t>
        </is>
      </c>
      <c r="X10" s="19" t="n">
        <v>0</v>
      </c>
      <c r="Y10" s="19" t="n">
        <v>0</v>
      </c>
      <c r="Z10" s="19" t="n">
        <v>0</v>
      </c>
      <c r="AA10" s="19" t="n">
        <v>0</v>
      </c>
      <c r="AB10" s="19" t="n">
        <v>0</v>
      </c>
      <c r="AC10" s="19" t="n">
        <v>0</v>
      </c>
      <c r="AD10" s="19" t="n">
        <v>0</v>
      </c>
      <c r="AE10" s="19" t="n">
        <v>0</v>
      </c>
      <c r="AF10" s="19" t="n">
        <v>0.3</v>
      </c>
      <c r="AG10" s="19" t="n">
        <v>0.5</v>
      </c>
      <c r="AH10" s="20">
        <f>F10*I10*L10</f>
        <v/>
      </c>
      <c r="AI10" s="20">
        <f>G10*J10*M10</f>
        <v/>
      </c>
      <c r="AJ10" s="20">
        <f>H10*K10*N10</f>
        <v/>
      </c>
      <c r="AK10" s="20">
        <f>AH10+AI10+AJ10</f>
        <v/>
      </c>
      <c r="AL10" s="21">
        <f>P10-O10</f>
        <v/>
      </c>
      <c r="AM10" s="21">
        <f>R10-Q10</f>
        <v/>
      </c>
      <c r="AN10" s="21">
        <f>F10*AL10</f>
        <v/>
      </c>
      <c r="AO10" s="21">
        <f>G10*AM10</f>
        <v/>
      </c>
      <c r="AP10" s="21">
        <f>H10*AM10</f>
        <v/>
      </c>
      <c r="AQ10" s="21" t="n">
        <v>20000</v>
      </c>
      <c r="AR10" s="21" t="n">
        <v>40000</v>
      </c>
      <c r="AS10" s="21" t="n">
        <v>72000</v>
      </c>
      <c r="AT10" s="21" t="n">
        <v>4312</v>
      </c>
      <c r="AU10" s="21" t="n">
        <v>2156</v>
      </c>
      <c r="AV10" s="21">
        <f>AT10*(1-Parameters!$B$5)</f>
        <v/>
      </c>
      <c r="AW10" s="21" t="n">
        <v>137.52</v>
      </c>
      <c r="AX10" s="21" t="n">
        <v>68.76000000000001</v>
      </c>
      <c r="AY10" s="21">
        <f>AW10*(1-Parameters!$B$5)</f>
        <v/>
      </c>
      <c r="AZ10" s="21" t="n">
        <v>10348.8</v>
      </c>
      <c r="BA10" s="21" t="n">
        <v>5174.4</v>
      </c>
      <c r="BB10" s="21" t="n">
        <v>330.02</v>
      </c>
      <c r="BC10" s="21" t="n">
        <v>165.01</v>
      </c>
      <c r="BD10" s="21" t="n">
        <v>24837.12</v>
      </c>
      <c r="BE10" s="21" t="n">
        <v>12418.56</v>
      </c>
      <c r="BF10" s="21" t="n">
        <v>792.08</v>
      </c>
      <c r="BG10" s="21" t="n">
        <v>396.04</v>
      </c>
      <c r="BH10" s="21" t="n">
        <v>0</v>
      </c>
      <c r="BI10" s="21" t="n">
        <v>0</v>
      </c>
      <c r="BJ10" s="21" t="n">
        <v>0</v>
      </c>
      <c r="BK10" s="21">
        <f>IF(LOWER(W10)="yes",X10,0)</f>
        <v/>
      </c>
      <c r="BL10" s="21">
        <f>IF(LOWER(W10)="yes",Z10,0)</f>
        <v/>
      </c>
      <c r="BM10" s="21">
        <f>IF(LOWER(W10)="yes",AB10,0)</f>
        <v/>
      </c>
      <c r="BN10" s="21">
        <f>AQ10+AU10+AX10+BH10+AD10</f>
        <v/>
      </c>
      <c r="BO10" s="21">
        <f>AR10+BA10+BC10+BI10</f>
        <v/>
      </c>
      <c r="BP10" s="21">
        <f>AS10+BE10+BG10+BJ10</f>
        <v/>
      </c>
      <c r="BQ10" s="21">
        <f>BN10+BO10+BP10</f>
        <v/>
      </c>
      <c r="BR10" s="21">
        <f>F10*(AF10+AG10)</f>
        <v/>
      </c>
      <c r="BS10" s="21">
        <f>G10*AG10</f>
        <v/>
      </c>
      <c r="BT10" s="21">
        <f>H10*AG10</f>
        <v/>
      </c>
      <c r="BU10" s="21">
        <f>BR10+BS10+BT10</f>
        <v/>
      </c>
      <c r="BV10" s="21">
        <f>BN10-BR10</f>
        <v/>
      </c>
      <c r="BW10" s="21">
        <f>BO10-BS10</f>
        <v/>
      </c>
      <c r="BX10" s="21">
        <f>BP10-BT10</f>
        <v/>
      </c>
      <c r="BY10" s="21">
        <f>BV10+BW10+BX10</f>
        <v/>
      </c>
      <c r="BZ10" s="22">
        <f>BN10*E10</f>
        <v/>
      </c>
      <c r="CA10" s="22">
        <f>BQ10*E10</f>
        <v/>
      </c>
      <c r="CB10" s="22">
        <f>BV10*E10</f>
        <v/>
      </c>
      <c r="CC10" s="22">
        <f>BY10*E10</f>
        <v/>
      </c>
      <c r="CD10" s="21">
        <f>AN10+AV10+AY10+AE10</f>
        <v/>
      </c>
      <c r="CE10" s="21">
        <f>AO10+AZ10*(1-Parameters!$B$5)+BB10*(1-Parameters!$B$5)</f>
        <v/>
      </c>
      <c r="CF10" s="21">
        <f>AP10+BD10*(1-Parameters!$B$5)+BF10*(1-Parameters!$B$5)</f>
        <v/>
      </c>
      <c r="CG10" s="21">
        <f>CD10+CE10+CF10</f>
        <v/>
      </c>
      <c r="CH10" s="21">
        <f>BK10</f>
        <v/>
      </c>
      <c r="CI10" s="21">
        <f>BL10</f>
        <v/>
      </c>
      <c r="CJ10" s="21">
        <f>BM10</f>
        <v/>
      </c>
      <c r="CK10" s="21">
        <f>CH10+CI10+CJ10</f>
        <v/>
      </c>
      <c r="CL10" s="21">
        <f>CD10-CH10</f>
        <v/>
      </c>
      <c r="CM10" s="21">
        <f>CE10-CI10</f>
        <v/>
      </c>
      <c r="CN10" s="21">
        <f>CF10-CJ10</f>
        <v/>
      </c>
      <c r="CO10" s="21">
        <f>CL10+CM10+CN10</f>
        <v/>
      </c>
      <c r="CP10" s="23">
        <f>IF(F10=0,0,CL10/F10)</f>
        <v/>
      </c>
      <c r="CQ10" s="23">
        <f>IF((F10+G10+H10)=0,0,CO10/(F10+G10+H10))</f>
        <v/>
      </c>
      <c r="CR10" s="22">
        <f>CL10*E10</f>
        <v/>
      </c>
      <c r="CS10" s="22">
        <f>CO10*E10</f>
        <v/>
      </c>
      <c r="CT10" s="21">
        <f>AT10+AW10</f>
        <v/>
      </c>
      <c r="CU10" s="21">
        <f>AQ10+BH10+AD10</f>
        <v/>
      </c>
      <c r="CV10" s="21">
        <f>AQ10</f>
        <v/>
      </c>
      <c r="CW10" s="22">
        <f>CV10*E10</f>
        <v/>
      </c>
    </row>
    <row r="11">
      <c r="A11" s="14" t="inlineStr">
        <is>
          <t>npl</t>
        </is>
      </c>
      <c r="B11" s="14" t="inlineStr">
        <is>
          <t>NPL Australia</t>
        </is>
      </c>
      <c r="C11" s="14" t="inlineStr">
        <is>
          <t>high</t>
        </is>
      </c>
      <c r="D11" s="14" t="inlineStr">
        <is>
          <t>AUD</t>
        </is>
      </c>
      <c r="E11" s="15" t="n">
        <v>1</v>
      </c>
      <c r="F11" s="16" t="n">
        <v>15000</v>
      </c>
      <c r="G11" s="16" t="n">
        <v>30000</v>
      </c>
      <c r="H11" s="16" t="n">
        <v>45000</v>
      </c>
      <c r="I11" s="17" t="n">
        <v>0.052</v>
      </c>
      <c r="J11" s="17" t="n">
        <v>0.065</v>
      </c>
      <c r="K11" s="17" t="n">
        <v>0.078</v>
      </c>
      <c r="L11" s="18" t="n">
        <v>1</v>
      </c>
      <c r="M11" s="18" t="n">
        <v>1</v>
      </c>
      <c r="N11" s="18" t="n">
        <v>1</v>
      </c>
      <c r="O11" s="19" t="n">
        <v>4</v>
      </c>
      <c r="P11" s="19" t="n">
        <v>8</v>
      </c>
      <c r="Q11" s="19" t="n">
        <v>4</v>
      </c>
      <c r="R11" s="19" t="n">
        <v>8</v>
      </c>
      <c r="S11" s="19" t="n">
        <v>490</v>
      </c>
      <c r="T11" s="17" t="n">
        <v>0.08</v>
      </c>
      <c r="U11" s="17" t="n">
        <v>0.3</v>
      </c>
      <c r="V11" s="19" t="n">
        <v>5</v>
      </c>
      <c r="W11" s="14" t="inlineStr">
        <is>
          <t>no</t>
        </is>
      </c>
      <c r="X11" s="19" t="n">
        <v>0</v>
      </c>
      <c r="Y11" s="19" t="n">
        <v>0</v>
      </c>
      <c r="Z11" s="19" t="n">
        <v>0</v>
      </c>
      <c r="AA11" s="19" t="n">
        <v>0</v>
      </c>
      <c r="AB11" s="19" t="n">
        <v>0</v>
      </c>
      <c r="AC11" s="19" t="n">
        <v>0</v>
      </c>
      <c r="AD11" s="19" t="n">
        <v>0</v>
      </c>
      <c r="AE11" s="19" t="n">
        <v>0</v>
      </c>
      <c r="AF11" s="19" t="n">
        <v>0.3</v>
      </c>
      <c r="AG11" s="19" t="n">
        <v>0.5</v>
      </c>
      <c r="AH11" s="20">
        <f>F11*I11*L11</f>
        <v/>
      </c>
      <c r="AI11" s="20">
        <f>G11*J11*M11</f>
        <v/>
      </c>
      <c r="AJ11" s="20">
        <f>H11*K11*N11</f>
        <v/>
      </c>
      <c r="AK11" s="20">
        <f>AH11+AI11+AJ11</f>
        <v/>
      </c>
      <c r="AL11" s="21">
        <f>P11-O11</f>
        <v/>
      </c>
      <c r="AM11" s="21">
        <f>R11-Q11</f>
        <v/>
      </c>
      <c r="AN11" s="21">
        <f>F11*AL11</f>
        <v/>
      </c>
      <c r="AO11" s="21">
        <f>G11*AM11</f>
        <v/>
      </c>
      <c r="AP11" s="21">
        <f>H11*AM11</f>
        <v/>
      </c>
      <c r="AQ11" s="21" t="n">
        <v>60000</v>
      </c>
      <c r="AR11" s="21" t="n">
        <v>120000</v>
      </c>
      <c r="AS11" s="21" t="n">
        <v>180000</v>
      </c>
      <c r="AT11" s="21" t="n">
        <v>30576</v>
      </c>
      <c r="AU11" s="21" t="n">
        <v>15288</v>
      </c>
      <c r="AV11" s="21">
        <f>AT11*(1-Parameters!$B$5)</f>
        <v/>
      </c>
      <c r="AW11" s="21" t="n">
        <v>1170</v>
      </c>
      <c r="AX11" s="21" t="n">
        <v>585</v>
      </c>
      <c r="AY11" s="21">
        <f>AW11*(1-Parameters!$B$5)</f>
        <v/>
      </c>
      <c r="AZ11" s="21" t="n">
        <v>76440</v>
      </c>
      <c r="BA11" s="21" t="n">
        <v>38220</v>
      </c>
      <c r="BB11" s="21" t="n">
        <v>2924.98</v>
      </c>
      <c r="BC11" s="21" t="n">
        <v>1462.49</v>
      </c>
      <c r="BD11" s="21" t="n">
        <v>137592</v>
      </c>
      <c r="BE11" s="21" t="n">
        <v>68796</v>
      </c>
      <c r="BF11" s="21" t="n">
        <v>5264.96</v>
      </c>
      <c r="BG11" s="21" t="n">
        <v>2632.48</v>
      </c>
      <c r="BH11" s="21" t="n">
        <v>0</v>
      </c>
      <c r="BI11" s="21" t="n">
        <v>0</v>
      </c>
      <c r="BJ11" s="21" t="n">
        <v>0</v>
      </c>
      <c r="BK11" s="21">
        <f>IF(LOWER(W11)="yes",X11,0)</f>
        <v/>
      </c>
      <c r="BL11" s="21">
        <f>IF(LOWER(W11)="yes",Z11,0)</f>
        <v/>
      </c>
      <c r="BM11" s="21">
        <f>IF(LOWER(W11)="yes",AB11,0)</f>
        <v/>
      </c>
      <c r="BN11" s="21">
        <f>AQ11+AU11+AX11+BH11+AD11</f>
        <v/>
      </c>
      <c r="BO11" s="21">
        <f>AR11+BA11+BC11+BI11</f>
        <v/>
      </c>
      <c r="BP11" s="21">
        <f>AS11+BE11+BG11+BJ11</f>
        <v/>
      </c>
      <c r="BQ11" s="21">
        <f>BN11+BO11+BP11</f>
        <v/>
      </c>
      <c r="BR11" s="21">
        <f>F11*(AF11+AG11)</f>
        <v/>
      </c>
      <c r="BS11" s="21">
        <f>G11*AG11</f>
        <v/>
      </c>
      <c r="BT11" s="21">
        <f>H11*AG11</f>
        <v/>
      </c>
      <c r="BU11" s="21">
        <f>BR11+BS11+BT11</f>
        <v/>
      </c>
      <c r="BV11" s="21">
        <f>BN11-BR11</f>
        <v/>
      </c>
      <c r="BW11" s="21">
        <f>BO11-BS11</f>
        <v/>
      </c>
      <c r="BX11" s="21">
        <f>BP11-BT11</f>
        <v/>
      </c>
      <c r="BY11" s="21">
        <f>BV11+BW11+BX11</f>
        <v/>
      </c>
      <c r="BZ11" s="22">
        <f>BN11*E11</f>
        <v/>
      </c>
      <c r="CA11" s="22">
        <f>BQ11*E11</f>
        <v/>
      </c>
      <c r="CB11" s="22">
        <f>BV11*E11</f>
        <v/>
      </c>
      <c r="CC11" s="22">
        <f>BY11*E11</f>
        <v/>
      </c>
      <c r="CD11" s="21">
        <f>AN11+AV11+AY11+AE11</f>
        <v/>
      </c>
      <c r="CE11" s="21">
        <f>AO11+AZ11*(1-Parameters!$B$5)+BB11*(1-Parameters!$B$5)</f>
        <v/>
      </c>
      <c r="CF11" s="21">
        <f>AP11+BD11*(1-Parameters!$B$5)+BF11*(1-Parameters!$B$5)</f>
        <v/>
      </c>
      <c r="CG11" s="21">
        <f>CD11+CE11+CF11</f>
        <v/>
      </c>
      <c r="CH11" s="21">
        <f>BK11</f>
        <v/>
      </c>
      <c r="CI11" s="21">
        <f>BL11</f>
        <v/>
      </c>
      <c r="CJ11" s="21">
        <f>BM11</f>
        <v/>
      </c>
      <c r="CK11" s="21">
        <f>CH11+CI11+CJ11</f>
        <v/>
      </c>
      <c r="CL11" s="21">
        <f>CD11-CH11</f>
        <v/>
      </c>
      <c r="CM11" s="21">
        <f>CE11-CI11</f>
        <v/>
      </c>
      <c r="CN11" s="21">
        <f>CF11-CJ11</f>
        <v/>
      </c>
      <c r="CO11" s="21">
        <f>CL11+CM11+CN11</f>
        <v/>
      </c>
      <c r="CP11" s="23">
        <f>IF(F11=0,0,CL11/F11)</f>
        <v/>
      </c>
      <c r="CQ11" s="23">
        <f>IF((F11+G11+H11)=0,0,CO11/(F11+G11+H11))</f>
        <v/>
      </c>
      <c r="CR11" s="22">
        <f>CL11*E11</f>
        <v/>
      </c>
      <c r="CS11" s="22">
        <f>CO11*E11</f>
        <v/>
      </c>
      <c r="CT11" s="21">
        <f>AT11+AW11</f>
        <v/>
      </c>
      <c r="CU11" s="21">
        <f>AQ11+BH11+AD11</f>
        <v/>
      </c>
      <c r="CV11" s="21">
        <f>AQ11</f>
        <v/>
      </c>
      <c r="CW11" s="22">
        <f>CV11*E11</f>
        <v/>
      </c>
    </row>
    <row r="12">
      <c r="A12" s="14" t="inlineStr">
        <is>
          <t>npl</t>
        </is>
      </c>
      <c r="B12" s="14" t="inlineStr">
        <is>
          <t>NPL Australia</t>
        </is>
      </c>
      <c r="C12" s="14" t="inlineStr">
        <is>
          <t>likely</t>
        </is>
      </c>
      <c r="D12" s="14" t="inlineStr">
        <is>
          <t>AUD</t>
        </is>
      </c>
      <c r="E12" s="15" t="n">
        <v>1</v>
      </c>
      <c r="F12" s="16" t="n">
        <v>8000</v>
      </c>
      <c r="G12" s="16" t="n">
        <v>16000</v>
      </c>
      <c r="H12" s="16" t="n">
        <v>28000</v>
      </c>
      <c r="I12" s="17" t="n">
        <v>0.036</v>
      </c>
      <c r="J12" s="17" t="n">
        <v>0.048</v>
      </c>
      <c r="K12" s="17" t="n">
        <v>0.06</v>
      </c>
      <c r="L12" s="18" t="n">
        <v>1</v>
      </c>
      <c r="M12" s="18" t="n">
        <v>1</v>
      </c>
      <c r="N12" s="18" t="n">
        <v>1</v>
      </c>
      <c r="O12" s="19" t="n">
        <v>4</v>
      </c>
      <c r="P12" s="19" t="n">
        <v>7</v>
      </c>
      <c r="Q12" s="19" t="n">
        <v>4</v>
      </c>
      <c r="R12" s="19" t="n">
        <v>7</v>
      </c>
      <c r="S12" s="19" t="n">
        <v>441</v>
      </c>
      <c r="T12" s="17" t="n">
        <v>0.08</v>
      </c>
      <c r="U12" s="17" t="n">
        <v>0.3</v>
      </c>
      <c r="V12" s="19" t="n">
        <v>3.750231481481482</v>
      </c>
      <c r="W12" s="14" t="inlineStr">
        <is>
          <t>no</t>
        </is>
      </c>
      <c r="X12" s="19" t="n">
        <v>0</v>
      </c>
      <c r="Y12" s="19" t="n">
        <v>0</v>
      </c>
      <c r="Z12" s="19" t="n">
        <v>0</v>
      </c>
      <c r="AA12" s="19" t="n">
        <v>0</v>
      </c>
      <c r="AB12" s="19" t="n">
        <v>0</v>
      </c>
      <c r="AC12" s="19" t="n">
        <v>0</v>
      </c>
      <c r="AD12" s="19" t="n">
        <v>0</v>
      </c>
      <c r="AE12" s="19" t="n">
        <v>0</v>
      </c>
      <c r="AF12" s="19" t="n">
        <v>0.3</v>
      </c>
      <c r="AG12" s="19" t="n">
        <v>0.5</v>
      </c>
      <c r="AH12" s="20">
        <f>F12*I12*L12</f>
        <v/>
      </c>
      <c r="AI12" s="20">
        <f>G12*J12*M12</f>
        <v/>
      </c>
      <c r="AJ12" s="20">
        <f>H12*K12*N12</f>
        <v/>
      </c>
      <c r="AK12" s="20">
        <f>AH12+AI12+AJ12</f>
        <v/>
      </c>
      <c r="AL12" s="21">
        <f>P12-O12</f>
        <v/>
      </c>
      <c r="AM12" s="21">
        <f>R12-Q12</f>
        <v/>
      </c>
      <c r="AN12" s="21">
        <f>F12*AL12</f>
        <v/>
      </c>
      <c r="AO12" s="21">
        <f>G12*AM12</f>
        <v/>
      </c>
      <c r="AP12" s="21">
        <f>H12*AM12</f>
        <v/>
      </c>
      <c r="AQ12" s="21" t="n">
        <v>32000</v>
      </c>
      <c r="AR12" s="21" t="n">
        <v>64000</v>
      </c>
      <c r="AS12" s="21" t="n">
        <v>112000</v>
      </c>
      <c r="AT12" s="21" t="n">
        <v>10160.64</v>
      </c>
      <c r="AU12" s="21" t="n">
        <v>5080.32</v>
      </c>
      <c r="AV12" s="21">
        <f>AT12*(1-Parameters!$B$5)</f>
        <v/>
      </c>
      <c r="AW12" s="21" t="n">
        <v>324.02</v>
      </c>
      <c r="AX12" s="21" t="n">
        <v>162.01</v>
      </c>
      <c r="AY12" s="21">
        <f>AW12*(1-Parameters!$B$5)</f>
        <v/>
      </c>
      <c r="AZ12" s="21" t="n">
        <v>27095.04</v>
      </c>
      <c r="BA12" s="21" t="n">
        <v>13547.52</v>
      </c>
      <c r="BB12" s="21" t="n">
        <v>864.04</v>
      </c>
      <c r="BC12" s="21" t="n">
        <v>432.02</v>
      </c>
      <c r="BD12" s="21" t="n">
        <v>59270.4</v>
      </c>
      <c r="BE12" s="21" t="n">
        <v>29635.2</v>
      </c>
      <c r="BF12" s="21" t="n">
        <v>1890.06</v>
      </c>
      <c r="BG12" s="21" t="n">
        <v>945.03</v>
      </c>
      <c r="BH12" s="21" t="n">
        <v>0</v>
      </c>
      <c r="BI12" s="21" t="n">
        <v>0</v>
      </c>
      <c r="BJ12" s="21" t="n">
        <v>0</v>
      </c>
      <c r="BK12" s="21">
        <f>IF(LOWER(W12)="yes",X12,0)</f>
        <v/>
      </c>
      <c r="BL12" s="21">
        <f>IF(LOWER(W12)="yes",Z12,0)</f>
        <v/>
      </c>
      <c r="BM12" s="21">
        <f>IF(LOWER(W12)="yes",AB12,0)</f>
        <v/>
      </c>
      <c r="BN12" s="21">
        <f>AQ12+AU12+AX12+BH12+AD12</f>
        <v/>
      </c>
      <c r="BO12" s="21">
        <f>AR12+BA12+BC12+BI12</f>
        <v/>
      </c>
      <c r="BP12" s="21">
        <f>AS12+BE12+BG12+BJ12</f>
        <v/>
      </c>
      <c r="BQ12" s="21">
        <f>BN12+BO12+BP12</f>
        <v/>
      </c>
      <c r="BR12" s="21">
        <f>F12*(AF12+AG12)</f>
        <v/>
      </c>
      <c r="BS12" s="21">
        <f>G12*AG12</f>
        <v/>
      </c>
      <c r="BT12" s="21">
        <f>H12*AG12</f>
        <v/>
      </c>
      <c r="BU12" s="21">
        <f>BR12+BS12+BT12</f>
        <v/>
      </c>
      <c r="BV12" s="21">
        <f>BN12-BR12</f>
        <v/>
      </c>
      <c r="BW12" s="21">
        <f>BO12-BS12</f>
        <v/>
      </c>
      <c r="BX12" s="21">
        <f>BP12-BT12</f>
        <v/>
      </c>
      <c r="BY12" s="21">
        <f>BV12+BW12+BX12</f>
        <v/>
      </c>
      <c r="BZ12" s="22">
        <f>BN12*E12</f>
        <v/>
      </c>
      <c r="CA12" s="22">
        <f>BQ12*E12</f>
        <v/>
      </c>
      <c r="CB12" s="22">
        <f>BV12*E12</f>
        <v/>
      </c>
      <c r="CC12" s="22">
        <f>BY12*E12</f>
        <v/>
      </c>
      <c r="CD12" s="21">
        <f>AN12+AV12+AY12+AE12</f>
        <v/>
      </c>
      <c r="CE12" s="21">
        <f>AO12+AZ12*(1-Parameters!$B$5)+BB12*(1-Parameters!$B$5)</f>
        <v/>
      </c>
      <c r="CF12" s="21">
        <f>AP12+BD12*(1-Parameters!$B$5)+BF12*(1-Parameters!$B$5)</f>
        <v/>
      </c>
      <c r="CG12" s="21">
        <f>CD12+CE12+CF12</f>
        <v/>
      </c>
      <c r="CH12" s="21">
        <f>BK12</f>
        <v/>
      </c>
      <c r="CI12" s="21">
        <f>BL12</f>
        <v/>
      </c>
      <c r="CJ12" s="21">
        <f>BM12</f>
        <v/>
      </c>
      <c r="CK12" s="21">
        <f>CH12+CI12+CJ12</f>
        <v/>
      </c>
      <c r="CL12" s="21">
        <f>CD12-CH12</f>
        <v/>
      </c>
      <c r="CM12" s="21">
        <f>CE12-CI12</f>
        <v/>
      </c>
      <c r="CN12" s="21">
        <f>CF12-CJ12</f>
        <v/>
      </c>
      <c r="CO12" s="21">
        <f>CL12+CM12+CN12</f>
        <v/>
      </c>
      <c r="CP12" s="23">
        <f>IF(F12=0,0,CL12/F12)</f>
        <v/>
      </c>
      <c r="CQ12" s="23">
        <f>IF((F12+G12+H12)=0,0,CO12/(F12+G12+H12))</f>
        <v/>
      </c>
      <c r="CR12" s="22">
        <f>CL12*E12</f>
        <v/>
      </c>
      <c r="CS12" s="22">
        <f>CO12*E12</f>
        <v/>
      </c>
      <c r="CT12" s="21">
        <f>AT12+AW12</f>
        <v/>
      </c>
      <c r="CU12" s="21">
        <f>AQ12+BH12+AD12</f>
        <v/>
      </c>
      <c r="CV12" s="21">
        <f>AQ12</f>
        <v/>
      </c>
      <c r="CW12" s="22">
        <f>CV12*E12</f>
        <v/>
      </c>
    </row>
    <row r="13">
      <c r="A13" s="14" t="inlineStr">
        <is>
          <t>pickleball-au</t>
        </is>
      </c>
      <c r="B13" s="14" t="inlineStr">
        <is>
          <t>Pickleball Australia</t>
        </is>
      </c>
      <c r="C13" s="14" t="inlineStr">
        <is>
          <t>base</t>
        </is>
      </c>
      <c r="D13" s="14" t="inlineStr">
        <is>
          <t>AUD</t>
        </is>
      </c>
      <c r="E13" s="15" t="n">
        <v>1</v>
      </c>
      <c r="F13" s="16" t="n">
        <v>500</v>
      </c>
      <c r="G13" s="16" t="n">
        <v>5000</v>
      </c>
      <c r="H13" s="16" t="n">
        <v>20000</v>
      </c>
      <c r="I13" s="17" t="n">
        <v>0.056</v>
      </c>
      <c r="J13" s="17" t="n">
        <v>0.055</v>
      </c>
      <c r="K13" s="17" t="n">
        <v>0.055</v>
      </c>
      <c r="L13" s="18" t="n">
        <v>1</v>
      </c>
      <c r="M13" s="18" t="n">
        <v>1</v>
      </c>
      <c r="N13" s="18" t="n">
        <v>1</v>
      </c>
      <c r="O13" s="19" t="n">
        <v>6</v>
      </c>
      <c r="P13" s="19" t="n">
        <v>9</v>
      </c>
      <c r="Q13" s="19" t="n">
        <v>6</v>
      </c>
      <c r="R13" s="19" t="n">
        <v>9</v>
      </c>
      <c r="S13" s="19" t="n">
        <v>584.9553571428571</v>
      </c>
      <c r="T13" s="17" t="n">
        <v>0.08</v>
      </c>
      <c r="U13" s="17" t="n">
        <v>0.3</v>
      </c>
      <c r="V13" s="19" t="n">
        <v>8.52142857142857</v>
      </c>
      <c r="W13" s="14" t="inlineStr">
        <is>
          <t>no</t>
        </is>
      </c>
      <c r="X13" s="19" t="n">
        <v>0</v>
      </c>
      <c r="Y13" s="19" t="n">
        <v>0</v>
      </c>
      <c r="Z13" s="19" t="n">
        <v>0</v>
      </c>
      <c r="AA13" s="19" t="n">
        <v>0</v>
      </c>
      <c r="AB13" s="19" t="n">
        <v>0</v>
      </c>
      <c r="AC13" s="19" t="n">
        <v>0</v>
      </c>
      <c r="AD13" s="19" t="n">
        <v>0</v>
      </c>
      <c r="AE13" s="19" t="n">
        <v>0</v>
      </c>
      <c r="AF13" s="19" t="n">
        <v>0.3</v>
      </c>
      <c r="AG13" s="19" t="n">
        <v>0.5</v>
      </c>
      <c r="AH13" s="20">
        <f>F13*I13*L13</f>
        <v/>
      </c>
      <c r="AI13" s="20">
        <f>G13*J13*M13</f>
        <v/>
      </c>
      <c r="AJ13" s="20">
        <f>H13*K13*N13</f>
        <v/>
      </c>
      <c r="AK13" s="20">
        <f>AH13+AI13+AJ13</f>
        <v/>
      </c>
      <c r="AL13" s="21">
        <f>P13-O13</f>
        <v/>
      </c>
      <c r="AM13" s="21">
        <f>R13-Q13</f>
        <v/>
      </c>
      <c r="AN13" s="21">
        <f>F13*AL13</f>
        <v/>
      </c>
      <c r="AO13" s="21">
        <f>G13*AM13</f>
        <v/>
      </c>
      <c r="AP13" s="21">
        <f>H13*AM13</f>
        <v/>
      </c>
      <c r="AQ13" s="21" t="n">
        <v>3000</v>
      </c>
      <c r="AR13" s="21" t="n">
        <v>30000</v>
      </c>
      <c r="AS13" s="21" t="n">
        <v>120000</v>
      </c>
      <c r="AT13" s="21" t="n">
        <v>1310.3</v>
      </c>
      <c r="AU13" s="21" t="n">
        <v>655.15</v>
      </c>
      <c r="AV13" s="21">
        <f>AT13*(1-Parameters!$B$5)</f>
        <v/>
      </c>
      <c r="AW13" s="21" t="n">
        <v>71.58</v>
      </c>
      <c r="AX13" s="21" t="n">
        <v>35.79</v>
      </c>
      <c r="AY13" s="21">
        <f>AW13*(1-Parameters!$B$5)</f>
        <v/>
      </c>
      <c r="AZ13" s="21" t="n">
        <v>13103.08</v>
      </c>
      <c r="BA13" s="21" t="n">
        <v>6551.54</v>
      </c>
      <c r="BB13" s="21" t="n">
        <v>715.8</v>
      </c>
      <c r="BC13" s="21" t="n">
        <v>357.9</v>
      </c>
      <c r="BD13" s="21" t="n">
        <v>52412.36</v>
      </c>
      <c r="BE13" s="21" t="n">
        <v>26206.18</v>
      </c>
      <c r="BF13" s="21" t="n">
        <v>2863.16</v>
      </c>
      <c r="BG13" s="21" t="n">
        <v>1431.58</v>
      </c>
      <c r="BH13" s="21" t="n">
        <v>0</v>
      </c>
      <c r="BI13" s="21" t="n">
        <v>0</v>
      </c>
      <c r="BJ13" s="21" t="n">
        <v>0</v>
      </c>
      <c r="BK13" s="21">
        <f>IF(LOWER(W13)="yes",X13,0)</f>
        <v/>
      </c>
      <c r="BL13" s="21">
        <f>IF(LOWER(W13)="yes",Z13,0)</f>
        <v/>
      </c>
      <c r="BM13" s="21">
        <f>IF(LOWER(W13)="yes",AB13,0)</f>
        <v/>
      </c>
      <c r="BN13" s="21">
        <f>AQ13+AU13+AX13+BH13+AD13</f>
        <v/>
      </c>
      <c r="BO13" s="21">
        <f>AR13+BA13+BC13+BI13</f>
        <v/>
      </c>
      <c r="BP13" s="21">
        <f>AS13+BE13+BG13+BJ13</f>
        <v/>
      </c>
      <c r="BQ13" s="21">
        <f>BN13+BO13+BP13</f>
        <v/>
      </c>
      <c r="BR13" s="21">
        <f>F13*(AF13+AG13)</f>
        <v/>
      </c>
      <c r="BS13" s="21">
        <f>G13*AG13</f>
        <v/>
      </c>
      <c r="BT13" s="21">
        <f>H13*AG13</f>
        <v/>
      </c>
      <c r="BU13" s="21">
        <f>BR13+BS13+BT13</f>
        <v/>
      </c>
      <c r="BV13" s="21">
        <f>BN13-BR13</f>
        <v/>
      </c>
      <c r="BW13" s="21">
        <f>BO13-BS13</f>
        <v/>
      </c>
      <c r="BX13" s="21">
        <f>BP13-BT13</f>
        <v/>
      </c>
      <c r="BY13" s="21">
        <f>BV13+BW13+BX13</f>
        <v/>
      </c>
      <c r="BZ13" s="22">
        <f>BN13*E13</f>
        <v/>
      </c>
      <c r="CA13" s="22">
        <f>BQ13*E13</f>
        <v/>
      </c>
      <c r="CB13" s="22">
        <f>BV13*E13</f>
        <v/>
      </c>
      <c r="CC13" s="22">
        <f>BY13*E13</f>
        <v/>
      </c>
      <c r="CD13" s="21">
        <f>AN13+AV13+AY13+AE13</f>
        <v/>
      </c>
      <c r="CE13" s="21">
        <f>AO13+AZ13*(1-Parameters!$B$5)+BB13*(1-Parameters!$B$5)</f>
        <v/>
      </c>
      <c r="CF13" s="21">
        <f>AP13+BD13*(1-Parameters!$B$5)+BF13*(1-Parameters!$B$5)</f>
        <v/>
      </c>
      <c r="CG13" s="21">
        <f>CD13+CE13+CF13</f>
        <v/>
      </c>
      <c r="CH13" s="21">
        <f>BK13</f>
        <v/>
      </c>
      <c r="CI13" s="21">
        <f>BL13</f>
        <v/>
      </c>
      <c r="CJ13" s="21">
        <f>BM13</f>
        <v/>
      </c>
      <c r="CK13" s="21">
        <f>CH13+CI13+CJ13</f>
        <v/>
      </c>
      <c r="CL13" s="21">
        <f>CD13-CH13</f>
        <v/>
      </c>
      <c r="CM13" s="21">
        <f>CE13-CI13</f>
        <v/>
      </c>
      <c r="CN13" s="21">
        <f>CF13-CJ13</f>
        <v/>
      </c>
      <c r="CO13" s="21">
        <f>CL13+CM13+CN13</f>
        <v/>
      </c>
      <c r="CP13" s="23">
        <f>IF(F13=0,0,CL13/F13)</f>
        <v/>
      </c>
      <c r="CQ13" s="23">
        <f>IF((F13+G13+H13)=0,0,CO13/(F13+G13+H13))</f>
        <v/>
      </c>
      <c r="CR13" s="22">
        <f>CL13*E13</f>
        <v/>
      </c>
      <c r="CS13" s="22">
        <f>CO13*E13</f>
        <v/>
      </c>
      <c r="CT13" s="21">
        <f>AT13+AW13</f>
        <v/>
      </c>
      <c r="CU13" s="21">
        <f>AQ13+BH13+AD13</f>
        <v/>
      </c>
      <c r="CV13" s="21">
        <f>AQ13</f>
        <v/>
      </c>
      <c r="CW13" s="22">
        <f>CV13*E13</f>
        <v/>
      </c>
    </row>
    <row r="14">
      <c r="A14" s="14" t="inlineStr">
        <is>
          <t>pickleball-au</t>
        </is>
      </c>
      <c r="B14" s="14" t="inlineStr">
        <is>
          <t>Pickleball Australia</t>
        </is>
      </c>
      <c r="C14" s="14" t="inlineStr">
        <is>
          <t>high</t>
        </is>
      </c>
      <c r="D14" s="14" t="inlineStr">
        <is>
          <t>AUD</t>
        </is>
      </c>
      <c r="E14" s="15" t="n">
        <v>1</v>
      </c>
      <c r="F14" s="16" t="n">
        <v>20000</v>
      </c>
      <c r="G14" s="16" t="n">
        <v>20000</v>
      </c>
      <c r="H14" s="16" t="n">
        <v>20000</v>
      </c>
      <c r="I14" s="17" t="n">
        <v>0.04</v>
      </c>
      <c r="J14" s="17" t="n">
        <v>0.05</v>
      </c>
      <c r="K14" s="17" t="n">
        <v>0.06</v>
      </c>
      <c r="L14" s="18" t="n">
        <v>1</v>
      </c>
      <c r="M14" s="18" t="n">
        <v>1</v>
      </c>
      <c r="N14" s="18" t="n">
        <v>1</v>
      </c>
      <c r="O14" s="19" t="n">
        <v>6</v>
      </c>
      <c r="P14" s="19" t="n">
        <v>10</v>
      </c>
      <c r="Q14" s="19" t="n">
        <v>6</v>
      </c>
      <c r="R14" s="19" t="n">
        <v>10</v>
      </c>
      <c r="S14" s="19" t="n">
        <v>866.5650000000001</v>
      </c>
      <c r="T14" s="17" t="n">
        <v>0.08</v>
      </c>
      <c r="U14" s="17" t="n">
        <v>0.3</v>
      </c>
      <c r="V14" s="19" t="n">
        <v>20.83483333333333</v>
      </c>
      <c r="W14" s="14" t="inlineStr">
        <is>
          <t>no</t>
        </is>
      </c>
      <c r="X14" s="19" t="n">
        <v>0</v>
      </c>
      <c r="Y14" s="19" t="n">
        <v>0</v>
      </c>
      <c r="Z14" s="19" t="n">
        <v>0</v>
      </c>
      <c r="AA14" s="19" t="n">
        <v>0</v>
      </c>
      <c r="AB14" s="19" t="n">
        <v>0</v>
      </c>
      <c r="AC14" s="19" t="n">
        <v>0</v>
      </c>
      <c r="AD14" s="19" t="n">
        <v>0</v>
      </c>
      <c r="AE14" s="19" t="n">
        <v>0</v>
      </c>
      <c r="AF14" s="19" t="n">
        <v>0.3</v>
      </c>
      <c r="AG14" s="19" t="n">
        <v>0.5</v>
      </c>
      <c r="AH14" s="20">
        <f>F14*I14*L14</f>
        <v/>
      </c>
      <c r="AI14" s="20">
        <f>G14*J14*M14</f>
        <v/>
      </c>
      <c r="AJ14" s="20">
        <f>H14*K14*N14</f>
        <v/>
      </c>
      <c r="AK14" s="20">
        <f>AH14+AI14+AJ14</f>
        <v/>
      </c>
      <c r="AL14" s="21">
        <f>P14-O14</f>
        <v/>
      </c>
      <c r="AM14" s="21">
        <f>R14-Q14</f>
        <v/>
      </c>
      <c r="AN14" s="21">
        <f>F14*AL14</f>
        <v/>
      </c>
      <c r="AO14" s="21">
        <f>G14*AM14</f>
        <v/>
      </c>
      <c r="AP14" s="21">
        <f>H14*AM14</f>
        <v/>
      </c>
      <c r="AQ14" s="21" t="n">
        <v>120000</v>
      </c>
      <c r="AR14" s="21" t="n">
        <v>120000</v>
      </c>
      <c r="AS14" s="21" t="n">
        <v>120000</v>
      </c>
      <c r="AT14" s="21" t="n">
        <v>55460.16</v>
      </c>
      <c r="AU14" s="21" t="n">
        <v>27730.08</v>
      </c>
      <c r="AV14" s="21">
        <f>AT14*(1-Parameters!$B$5)</f>
        <v/>
      </c>
      <c r="AW14" s="21" t="n">
        <v>5000.36</v>
      </c>
      <c r="AX14" s="21" t="n">
        <v>2500.18</v>
      </c>
      <c r="AY14" s="21">
        <f>AW14*(1-Parameters!$B$5)</f>
        <v/>
      </c>
      <c r="AZ14" s="21" t="n">
        <v>69325.2</v>
      </c>
      <c r="BA14" s="21" t="n">
        <v>34662.6</v>
      </c>
      <c r="BB14" s="21" t="n">
        <v>6250.44</v>
      </c>
      <c r="BC14" s="21" t="n">
        <v>3125.22</v>
      </c>
      <c r="BD14" s="21" t="n">
        <v>83190.24000000001</v>
      </c>
      <c r="BE14" s="21" t="n">
        <v>41595.12</v>
      </c>
      <c r="BF14" s="21" t="n">
        <v>7500.52</v>
      </c>
      <c r="BG14" s="21" t="n">
        <v>3750.26</v>
      </c>
      <c r="BH14" s="21" t="n">
        <v>0</v>
      </c>
      <c r="BI14" s="21" t="n">
        <v>0</v>
      </c>
      <c r="BJ14" s="21" t="n">
        <v>0</v>
      </c>
      <c r="BK14" s="21">
        <f>IF(LOWER(W14)="yes",X14,0)</f>
        <v/>
      </c>
      <c r="BL14" s="21">
        <f>IF(LOWER(W14)="yes",Z14,0)</f>
        <v/>
      </c>
      <c r="BM14" s="21">
        <f>IF(LOWER(W14)="yes",AB14,0)</f>
        <v/>
      </c>
      <c r="BN14" s="21">
        <f>AQ14+AU14+AX14+BH14+AD14</f>
        <v/>
      </c>
      <c r="BO14" s="21">
        <f>AR14+BA14+BC14+BI14</f>
        <v/>
      </c>
      <c r="BP14" s="21">
        <f>AS14+BE14+BG14+BJ14</f>
        <v/>
      </c>
      <c r="BQ14" s="21">
        <f>BN14+BO14+BP14</f>
        <v/>
      </c>
      <c r="BR14" s="21">
        <f>F14*(AF14+AG14)</f>
        <v/>
      </c>
      <c r="BS14" s="21">
        <f>G14*AG14</f>
        <v/>
      </c>
      <c r="BT14" s="21">
        <f>H14*AG14</f>
        <v/>
      </c>
      <c r="BU14" s="21">
        <f>BR14+BS14+BT14</f>
        <v/>
      </c>
      <c r="BV14" s="21">
        <f>BN14-BR14</f>
        <v/>
      </c>
      <c r="BW14" s="21">
        <f>BO14-BS14</f>
        <v/>
      </c>
      <c r="BX14" s="21">
        <f>BP14-BT14</f>
        <v/>
      </c>
      <c r="BY14" s="21">
        <f>BV14+BW14+BX14</f>
        <v/>
      </c>
      <c r="BZ14" s="22">
        <f>BN14*E14</f>
        <v/>
      </c>
      <c r="CA14" s="22">
        <f>BQ14*E14</f>
        <v/>
      </c>
      <c r="CB14" s="22">
        <f>BV14*E14</f>
        <v/>
      </c>
      <c r="CC14" s="22">
        <f>BY14*E14</f>
        <v/>
      </c>
      <c r="CD14" s="21">
        <f>AN14+AV14+AY14+AE14</f>
        <v/>
      </c>
      <c r="CE14" s="21">
        <f>AO14+AZ14*(1-Parameters!$B$5)+BB14*(1-Parameters!$B$5)</f>
        <v/>
      </c>
      <c r="CF14" s="21">
        <f>AP14+BD14*(1-Parameters!$B$5)+BF14*(1-Parameters!$B$5)</f>
        <v/>
      </c>
      <c r="CG14" s="21">
        <f>CD14+CE14+CF14</f>
        <v/>
      </c>
      <c r="CH14" s="21">
        <f>BK14</f>
        <v/>
      </c>
      <c r="CI14" s="21">
        <f>BL14</f>
        <v/>
      </c>
      <c r="CJ14" s="21">
        <f>BM14</f>
        <v/>
      </c>
      <c r="CK14" s="21">
        <f>CH14+CI14+CJ14</f>
        <v/>
      </c>
      <c r="CL14" s="21">
        <f>CD14-CH14</f>
        <v/>
      </c>
      <c r="CM14" s="21">
        <f>CE14-CI14</f>
        <v/>
      </c>
      <c r="CN14" s="21">
        <f>CF14-CJ14</f>
        <v/>
      </c>
      <c r="CO14" s="21">
        <f>CL14+CM14+CN14</f>
        <v/>
      </c>
      <c r="CP14" s="23">
        <f>IF(F14=0,0,CL14/F14)</f>
        <v/>
      </c>
      <c r="CQ14" s="23">
        <f>IF((F14+G14+H14)=0,0,CO14/(F14+G14+H14))</f>
        <v/>
      </c>
      <c r="CR14" s="22">
        <f>CL14*E14</f>
        <v/>
      </c>
      <c r="CS14" s="22">
        <f>CO14*E14</f>
        <v/>
      </c>
      <c r="CT14" s="21">
        <f>AT14+AW14</f>
        <v/>
      </c>
      <c r="CU14" s="21">
        <f>AQ14+BH14+AD14</f>
        <v/>
      </c>
      <c r="CV14" s="21">
        <f>AQ14</f>
        <v/>
      </c>
      <c r="CW14" s="22">
        <f>CV14*E14</f>
        <v/>
      </c>
    </row>
    <row r="15">
      <c r="A15" s="14" t="inlineStr">
        <is>
          <t>pickleball-au</t>
        </is>
      </c>
      <c r="B15" s="14" t="inlineStr">
        <is>
          <t>Pickleball Australia</t>
        </is>
      </c>
      <c r="C15" s="14" t="inlineStr">
        <is>
          <t>likely</t>
        </is>
      </c>
      <c r="D15" s="14" t="inlineStr">
        <is>
          <t>AUD</t>
        </is>
      </c>
      <c r="E15" s="15" t="n">
        <v>1</v>
      </c>
      <c r="F15" s="16" t="n">
        <v>2000</v>
      </c>
      <c r="G15" s="16" t="n">
        <v>10000</v>
      </c>
      <c r="H15" s="16" t="n">
        <v>20000</v>
      </c>
      <c r="I15" s="17" t="n">
        <v>0.06</v>
      </c>
      <c r="J15" s="17" t="n">
        <v>0.07199999999999999</v>
      </c>
      <c r="K15" s="17" t="n">
        <v>0.08400000000000001</v>
      </c>
      <c r="L15" s="18" t="n">
        <v>1</v>
      </c>
      <c r="M15" s="18" t="n">
        <v>1</v>
      </c>
      <c r="N15" s="18" t="n">
        <v>1</v>
      </c>
      <c r="O15" s="19" t="n">
        <v>6</v>
      </c>
      <c r="P15" s="19" t="n">
        <v>9</v>
      </c>
      <c r="Q15" s="19" t="n">
        <v>6</v>
      </c>
      <c r="R15" s="19" t="n">
        <v>9</v>
      </c>
      <c r="S15" s="19" t="n">
        <v>698.0041666666667</v>
      </c>
      <c r="T15" s="17" t="n">
        <v>0.08</v>
      </c>
      <c r="U15" s="17" t="n">
        <v>0.3</v>
      </c>
      <c r="V15" s="19" t="n">
        <v>13.56333333333333</v>
      </c>
      <c r="W15" s="14" t="inlineStr">
        <is>
          <t>no</t>
        </is>
      </c>
      <c r="X15" s="19" t="n">
        <v>0</v>
      </c>
      <c r="Y15" s="19" t="n">
        <v>0</v>
      </c>
      <c r="Z15" s="19" t="n">
        <v>0</v>
      </c>
      <c r="AA15" s="19" t="n">
        <v>0</v>
      </c>
      <c r="AB15" s="19" t="n">
        <v>0</v>
      </c>
      <c r="AC15" s="19" t="n">
        <v>0</v>
      </c>
      <c r="AD15" s="19" t="n">
        <v>0</v>
      </c>
      <c r="AE15" s="19" t="n">
        <v>0</v>
      </c>
      <c r="AF15" s="19" t="n">
        <v>0.3</v>
      </c>
      <c r="AG15" s="19" t="n">
        <v>0.5</v>
      </c>
      <c r="AH15" s="20">
        <f>F15*I15*L15</f>
        <v/>
      </c>
      <c r="AI15" s="20">
        <f>G15*J15*M15</f>
        <v/>
      </c>
      <c r="AJ15" s="20">
        <f>H15*K15*N15</f>
        <v/>
      </c>
      <c r="AK15" s="20">
        <f>AH15+AI15+AJ15</f>
        <v/>
      </c>
      <c r="AL15" s="21">
        <f>P15-O15</f>
        <v/>
      </c>
      <c r="AM15" s="21">
        <f>R15-Q15</f>
        <v/>
      </c>
      <c r="AN15" s="21">
        <f>F15*AL15</f>
        <v/>
      </c>
      <c r="AO15" s="21">
        <f>G15*AM15</f>
        <v/>
      </c>
      <c r="AP15" s="21">
        <f>H15*AM15</f>
        <v/>
      </c>
      <c r="AQ15" s="21" t="n">
        <v>12000</v>
      </c>
      <c r="AR15" s="21" t="n">
        <v>60000</v>
      </c>
      <c r="AS15" s="21" t="n">
        <v>120000</v>
      </c>
      <c r="AT15" s="21" t="n">
        <v>6700.84</v>
      </c>
      <c r="AU15" s="21" t="n">
        <v>3350.42</v>
      </c>
      <c r="AV15" s="21">
        <f>AT15*(1-Parameters!$B$5)</f>
        <v/>
      </c>
      <c r="AW15" s="21" t="n">
        <v>488.28</v>
      </c>
      <c r="AX15" s="21" t="n">
        <v>244.14</v>
      </c>
      <c r="AY15" s="21">
        <f>AW15*(1-Parameters!$B$5)</f>
        <v/>
      </c>
      <c r="AZ15" s="21" t="n">
        <v>40205.08</v>
      </c>
      <c r="BA15" s="21" t="n">
        <v>20102.54</v>
      </c>
      <c r="BB15" s="21" t="n">
        <v>2929.66</v>
      </c>
      <c r="BC15" s="21" t="n">
        <v>1464.83</v>
      </c>
      <c r="BD15" s="21" t="n">
        <v>93811.88</v>
      </c>
      <c r="BE15" s="21" t="n">
        <v>46905.94</v>
      </c>
      <c r="BF15" s="21" t="n">
        <v>6835.86</v>
      </c>
      <c r="BG15" s="21" t="n">
        <v>3417.93</v>
      </c>
      <c r="BH15" s="21" t="n">
        <v>0</v>
      </c>
      <c r="BI15" s="21" t="n">
        <v>0</v>
      </c>
      <c r="BJ15" s="21" t="n">
        <v>0</v>
      </c>
      <c r="BK15" s="21">
        <f>IF(LOWER(W15)="yes",X15,0)</f>
        <v/>
      </c>
      <c r="BL15" s="21">
        <f>IF(LOWER(W15)="yes",Z15,0)</f>
        <v/>
      </c>
      <c r="BM15" s="21">
        <f>IF(LOWER(W15)="yes",AB15,0)</f>
        <v/>
      </c>
      <c r="BN15" s="21">
        <f>AQ15+AU15+AX15+BH15+AD15</f>
        <v/>
      </c>
      <c r="BO15" s="21">
        <f>AR15+BA15+BC15+BI15</f>
        <v/>
      </c>
      <c r="BP15" s="21">
        <f>AS15+BE15+BG15+BJ15</f>
        <v/>
      </c>
      <c r="BQ15" s="21">
        <f>BN15+BO15+BP15</f>
        <v/>
      </c>
      <c r="BR15" s="21">
        <f>F15*(AF15+AG15)</f>
        <v/>
      </c>
      <c r="BS15" s="21">
        <f>G15*AG15</f>
        <v/>
      </c>
      <c r="BT15" s="21">
        <f>H15*AG15</f>
        <v/>
      </c>
      <c r="BU15" s="21">
        <f>BR15+BS15+BT15</f>
        <v/>
      </c>
      <c r="BV15" s="21">
        <f>BN15-BR15</f>
        <v/>
      </c>
      <c r="BW15" s="21">
        <f>BO15-BS15</f>
        <v/>
      </c>
      <c r="BX15" s="21">
        <f>BP15-BT15</f>
        <v/>
      </c>
      <c r="BY15" s="21">
        <f>BV15+BW15+BX15</f>
        <v/>
      </c>
      <c r="BZ15" s="22">
        <f>BN15*E15</f>
        <v/>
      </c>
      <c r="CA15" s="22">
        <f>BQ15*E15</f>
        <v/>
      </c>
      <c r="CB15" s="22">
        <f>BV15*E15</f>
        <v/>
      </c>
      <c r="CC15" s="22">
        <f>BY15*E15</f>
        <v/>
      </c>
      <c r="CD15" s="21">
        <f>AN15+AV15+AY15+AE15</f>
        <v/>
      </c>
      <c r="CE15" s="21">
        <f>AO15+AZ15*(1-Parameters!$B$5)+BB15*(1-Parameters!$B$5)</f>
        <v/>
      </c>
      <c r="CF15" s="21">
        <f>AP15+BD15*(1-Parameters!$B$5)+BF15*(1-Parameters!$B$5)</f>
        <v/>
      </c>
      <c r="CG15" s="21">
        <f>CD15+CE15+CF15</f>
        <v/>
      </c>
      <c r="CH15" s="21">
        <f>BK15</f>
        <v/>
      </c>
      <c r="CI15" s="21">
        <f>BL15</f>
        <v/>
      </c>
      <c r="CJ15" s="21">
        <f>BM15</f>
        <v/>
      </c>
      <c r="CK15" s="21">
        <f>CH15+CI15+CJ15</f>
        <v/>
      </c>
      <c r="CL15" s="21">
        <f>CD15-CH15</f>
        <v/>
      </c>
      <c r="CM15" s="21">
        <f>CE15-CI15</f>
        <v/>
      </c>
      <c r="CN15" s="21">
        <f>CF15-CJ15</f>
        <v/>
      </c>
      <c r="CO15" s="21">
        <f>CL15+CM15+CN15</f>
        <v/>
      </c>
      <c r="CP15" s="23">
        <f>IF(F15=0,0,CL15/F15)</f>
        <v/>
      </c>
      <c r="CQ15" s="23">
        <f>IF((F15+G15+H15)=0,0,CO15/(F15+G15+H15))</f>
        <v/>
      </c>
      <c r="CR15" s="22">
        <f>CL15*E15</f>
        <v/>
      </c>
      <c r="CS15" s="22">
        <f>CO15*E15</f>
        <v/>
      </c>
      <c r="CT15" s="21">
        <f>AT15+AW15</f>
        <v/>
      </c>
      <c r="CU15" s="21">
        <f>AQ15+BH15+AD15</f>
        <v/>
      </c>
      <c r="CV15" s="21">
        <f>AQ15</f>
        <v/>
      </c>
      <c r="CW15" s="22">
        <f>CV15*E15</f>
        <v/>
      </c>
    </row>
    <row r="16">
      <c r="A16" s="14" t="inlineStr">
        <is>
          <t>rapha</t>
        </is>
      </c>
      <c r="B16" s="14" t="inlineStr">
        <is>
          <t>Rapha Racing Limited</t>
        </is>
      </c>
      <c r="C16" s="14" t="inlineStr">
        <is>
          <t>base</t>
        </is>
      </c>
      <c r="D16" s="14" t="inlineStr">
        <is>
          <t>GBP</t>
        </is>
      </c>
      <c r="E16" s="15" t="n">
        <v>1.92</v>
      </c>
      <c r="F16" s="16" t="n">
        <v>13000</v>
      </c>
      <c r="G16" s="16" t="n">
        <v>15000</v>
      </c>
      <c r="H16" s="16" t="n">
        <v>18000</v>
      </c>
      <c r="I16" s="17" t="n">
        <v>0.054</v>
      </c>
      <c r="J16" s="17" t="n">
        <v>0.09</v>
      </c>
      <c r="K16" s="17" t="n">
        <v>0.117</v>
      </c>
      <c r="L16" s="18" t="n">
        <v>1</v>
      </c>
      <c r="M16" s="18" t="n">
        <v>1</v>
      </c>
      <c r="N16" s="18" t="n">
        <v>1</v>
      </c>
      <c r="O16" s="19" t="n">
        <v>6</v>
      </c>
      <c r="P16" s="19" t="n">
        <v>15</v>
      </c>
      <c r="Q16" s="19" t="n">
        <v>6</v>
      </c>
      <c r="R16" s="19" t="n">
        <v>15</v>
      </c>
      <c r="S16" s="19" t="n">
        <v>166.8450854700855</v>
      </c>
      <c r="T16" s="17" t="n">
        <v>0.08</v>
      </c>
      <c r="U16" s="17" t="n">
        <v>0.3</v>
      </c>
      <c r="V16" s="19" t="n">
        <v>3.920037986704653</v>
      </c>
      <c r="W16" s="14" t="inlineStr">
        <is>
          <t>no</t>
        </is>
      </c>
      <c r="X16" s="19" t="n">
        <v>0</v>
      </c>
      <c r="Y16" s="19" t="n">
        <v>0</v>
      </c>
      <c r="Z16" s="19" t="n">
        <v>0</v>
      </c>
      <c r="AA16" s="19" t="n">
        <v>0</v>
      </c>
      <c r="AB16" s="19" t="n">
        <v>0</v>
      </c>
      <c r="AC16" s="19" t="n">
        <v>0</v>
      </c>
      <c r="AD16" s="19" t="n">
        <v>5000</v>
      </c>
      <c r="AE16" s="19" t="n">
        <v>0</v>
      </c>
      <c r="AF16" s="19" t="n">
        <v>0.5</v>
      </c>
      <c r="AG16" s="19" t="n">
        <v>1</v>
      </c>
      <c r="AH16" s="20">
        <f>F16*I16*L16</f>
        <v/>
      </c>
      <c r="AI16" s="20">
        <f>G16*J16*M16</f>
        <v/>
      </c>
      <c r="AJ16" s="20">
        <f>H16*K16*N16</f>
        <v/>
      </c>
      <c r="AK16" s="20">
        <f>AH16+AI16+AJ16</f>
        <v/>
      </c>
      <c r="AL16" s="21">
        <f>P16-O16</f>
        <v/>
      </c>
      <c r="AM16" s="21">
        <f>R16-Q16</f>
        <v/>
      </c>
      <c r="AN16" s="21">
        <f>F16*AL16</f>
        <v/>
      </c>
      <c r="AO16" s="21">
        <f>G16*AM16</f>
        <v/>
      </c>
      <c r="AP16" s="21">
        <f>H16*AM16</f>
        <v/>
      </c>
      <c r="AQ16" s="21" t="n">
        <v>78000</v>
      </c>
      <c r="AR16" s="21" t="n">
        <v>90000</v>
      </c>
      <c r="AS16" s="21" t="n">
        <v>108000</v>
      </c>
      <c r="AT16" s="21" t="n">
        <v>9370.02</v>
      </c>
      <c r="AU16" s="21" t="n">
        <v>4685.01</v>
      </c>
      <c r="AV16" s="21">
        <f>AT16*(1-Parameters!$B$5)</f>
        <v/>
      </c>
      <c r="AW16" s="21" t="n">
        <v>825.5599999999999</v>
      </c>
      <c r="AX16" s="21" t="n">
        <v>412.78</v>
      </c>
      <c r="AY16" s="21">
        <f>AW16*(1-Parameters!$B$5)</f>
        <v/>
      </c>
      <c r="AZ16" s="21" t="n">
        <v>18019.26</v>
      </c>
      <c r="BA16" s="21" t="n">
        <v>9009.629999999999</v>
      </c>
      <c r="BB16" s="21" t="n">
        <v>1587.6</v>
      </c>
      <c r="BC16" s="21" t="n">
        <v>793.8</v>
      </c>
      <c r="BD16" s="21" t="n">
        <v>28110.04</v>
      </c>
      <c r="BE16" s="21" t="n">
        <v>14055.02</v>
      </c>
      <c r="BF16" s="21" t="n">
        <v>2476.66</v>
      </c>
      <c r="BG16" s="21" t="n">
        <v>1238.33</v>
      </c>
      <c r="BH16" s="21" t="n">
        <v>0</v>
      </c>
      <c r="BI16" s="21" t="n">
        <v>0</v>
      </c>
      <c r="BJ16" s="21" t="n">
        <v>0</v>
      </c>
      <c r="BK16" s="21">
        <f>IF(LOWER(W16)="yes",X16,0)</f>
        <v/>
      </c>
      <c r="BL16" s="21">
        <f>IF(LOWER(W16)="yes",Z16,0)</f>
        <v/>
      </c>
      <c r="BM16" s="21">
        <f>IF(LOWER(W16)="yes",AB16,0)</f>
        <v/>
      </c>
      <c r="BN16" s="21">
        <f>AQ16+AU16+AX16+BH16+AD16</f>
        <v/>
      </c>
      <c r="BO16" s="21">
        <f>AR16+BA16+BC16+BI16</f>
        <v/>
      </c>
      <c r="BP16" s="21">
        <f>AS16+BE16+BG16+BJ16</f>
        <v/>
      </c>
      <c r="BQ16" s="21">
        <f>BN16+BO16+BP16</f>
        <v/>
      </c>
      <c r="BR16" s="21">
        <f>F16*(AF16+AG16)</f>
        <v/>
      </c>
      <c r="BS16" s="21">
        <f>G16*AG16</f>
        <v/>
      </c>
      <c r="BT16" s="21">
        <f>H16*AG16</f>
        <v/>
      </c>
      <c r="BU16" s="21">
        <f>BR16+BS16+BT16</f>
        <v/>
      </c>
      <c r="BV16" s="21">
        <f>BN16-BR16</f>
        <v/>
      </c>
      <c r="BW16" s="21">
        <f>BO16-BS16</f>
        <v/>
      </c>
      <c r="BX16" s="21">
        <f>BP16-BT16</f>
        <v/>
      </c>
      <c r="BY16" s="21">
        <f>BV16+BW16+BX16</f>
        <v/>
      </c>
      <c r="BZ16" s="22">
        <f>BN16*E16</f>
        <v/>
      </c>
      <c r="CA16" s="22">
        <f>BQ16*E16</f>
        <v/>
      </c>
      <c r="CB16" s="22">
        <f>BV16*E16</f>
        <v/>
      </c>
      <c r="CC16" s="22">
        <f>BY16*E16</f>
        <v/>
      </c>
      <c r="CD16" s="21">
        <f>AN16+AV16+AY16+AE16</f>
        <v/>
      </c>
      <c r="CE16" s="21">
        <f>AO16+AZ16*(1-Parameters!$B$5)+BB16*(1-Parameters!$B$5)</f>
        <v/>
      </c>
      <c r="CF16" s="21">
        <f>AP16+BD16*(1-Parameters!$B$5)+BF16*(1-Parameters!$B$5)</f>
        <v/>
      </c>
      <c r="CG16" s="21">
        <f>CD16+CE16+CF16</f>
        <v/>
      </c>
      <c r="CH16" s="21">
        <f>BK16</f>
        <v/>
      </c>
      <c r="CI16" s="21">
        <f>BL16</f>
        <v/>
      </c>
      <c r="CJ16" s="21">
        <f>BM16</f>
        <v/>
      </c>
      <c r="CK16" s="21">
        <f>CH16+CI16+CJ16</f>
        <v/>
      </c>
      <c r="CL16" s="21">
        <f>CD16-CH16</f>
        <v/>
      </c>
      <c r="CM16" s="21">
        <f>CE16-CI16</f>
        <v/>
      </c>
      <c r="CN16" s="21">
        <f>CF16-CJ16</f>
        <v/>
      </c>
      <c r="CO16" s="21">
        <f>CL16+CM16+CN16</f>
        <v/>
      </c>
      <c r="CP16" s="23">
        <f>IF(F16=0,0,CL16/F16)</f>
        <v/>
      </c>
      <c r="CQ16" s="23">
        <f>IF((F16+G16+H16)=0,0,CO16/(F16+G16+H16))</f>
        <v/>
      </c>
      <c r="CR16" s="22">
        <f>CL16*E16</f>
        <v/>
      </c>
      <c r="CS16" s="22">
        <f>CO16*E16</f>
        <v/>
      </c>
      <c r="CT16" s="21">
        <f>AT16+AW16</f>
        <v/>
      </c>
      <c r="CU16" s="21">
        <f>AQ16+BH16+AD16</f>
        <v/>
      </c>
      <c r="CV16" s="21">
        <f>AQ16</f>
        <v/>
      </c>
      <c r="CW16" s="22">
        <f>CV16*E16</f>
        <v/>
      </c>
    </row>
    <row r="17">
      <c r="A17" s="14" t="inlineStr">
        <is>
          <t>rapha</t>
        </is>
      </c>
      <c r="B17" s="14" t="inlineStr">
        <is>
          <t>Rapha Racing Limited</t>
        </is>
      </c>
      <c r="C17" s="14" t="inlineStr">
        <is>
          <t>high</t>
        </is>
      </c>
      <c r="D17" s="14" t="inlineStr">
        <is>
          <t>GBP</t>
        </is>
      </c>
      <c r="E17" s="15" t="n">
        <v>1.92</v>
      </c>
      <c r="F17" s="16" t="n">
        <v>13000</v>
      </c>
      <c r="G17" s="16" t="n">
        <v>16000</v>
      </c>
      <c r="H17" s="16" t="n">
        <v>22000</v>
      </c>
      <c r="I17" s="17" t="n">
        <v>0.125</v>
      </c>
      <c r="J17" s="17" t="n">
        <v>0.175</v>
      </c>
      <c r="K17" s="17" t="n">
        <v>0.25</v>
      </c>
      <c r="L17" s="18" t="n">
        <v>1</v>
      </c>
      <c r="M17" s="18" t="n">
        <v>1</v>
      </c>
      <c r="N17" s="18" t="n">
        <v>1</v>
      </c>
      <c r="O17" s="19" t="n">
        <v>6</v>
      </c>
      <c r="P17" s="19" t="n">
        <v>50</v>
      </c>
      <c r="Q17" s="19" t="n">
        <v>6</v>
      </c>
      <c r="R17" s="19" t="n">
        <v>50</v>
      </c>
      <c r="S17" s="19" t="n">
        <v>340.305076923077</v>
      </c>
      <c r="T17" s="17" t="n">
        <v>0.08</v>
      </c>
      <c r="U17" s="17" t="n">
        <v>0.3</v>
      </c>
      <c r="V17" s="19" t="n">
        <v>9.261005128205127</v>
      </c>
      <c r="W17" s="14" t="inlineStr">
        <is>
          <t>no</t>
        </is>
      </c>
      <c r="X17" s="19" t="n">
        <v>0</v>
      </c>
      <c r="Y17" s="19" t="n">
        <v>0</v>
      </c>
      <c r="Z17" s="19" t="n">
        <v>0</v>
      </c>
      <c r="AA17" s="19" t="n">
        <v>0</v>
      </c>
      <c r="AB17" s="19" t="n">
        <v>0</v>
      </c>
      <c r="AC17" s="19" t="n">
        <v>0</v>
      </c>
      <c r="AD17" s="19" t="n">
        <v>0</v>
      </c>
      <c r="AE17" s="19" t="n">
        <v>0</v>
      </c>
      <c r="AF17" s="19" t="n">
        <v>0.5</v>
      </c>
      <c r="AG17" s="19" t="n">
        <v>1</v>
      </c>
      <c r="AH17" s="20">
        <f>F17*I17*L17</f>
        <v/>
      </c>
      <c r="AI17" s="20">
        <f>G17*J17*M17</f>
        <v/>
      </c>
      <c r="AJ17" s="20">
        <f>H17*K17*N17</f>
        <v/>
      </c>
      <c r="AK17" s="20">
        <f>AH17+AI17+AJ17</f>
        <v/>
      </c>
      <c r="AL17" s="21">
        <f>P17-O17</f>
        <v/>
      </c>
      <c r="AM17" s="21">
        <f>R17-Q17</f>
        <v/>
      </c>
      <c r="AN17" s="21">
        <f>F17*AL17</f>
        <v/>
      </c>
      <c r="AO17" s="21">
        <f>G17*AM17</f>
        <v/>
      </c>
      <c r="AP17" s="21">
        <f>H17*AM17</f>
        <v/>
      </c>
      <c r="AQ17" s="21" t="n">
        <v>78000</v>
      </c>
      <c r="AR17" s="21" t="n">
        <v>96000</v>
      </c>
      <c r="AS17" s="21" t="n">
        <v>132000</v>
      </c>
      <c r="AT17" s="21" t="n">
        <v>44239.66</v>
      </c>
      <c r="AU17" s="21" t="n">
        <v>22119.83</v>
      </c>
      <c r="AV17" s="21">
        <f>AT17*(1-Parameters!$B$5)</f>
        <v/>
      </c>
      <c r="AW17" s="21" t="n">
        <v>4514.74</v>
      </c>
      <c r="AX17" s="21" t="n">
        <v>2257.37</v>
      </c>
      <c r="AY17" s="21">
        <f>AW17*(1-Parameters!$B$5)</f>
        <v/>
      </c>
      <c r="AZ17" s="21" t="n">
        <v>76228.32000000001</v>
      </c>
      <c r="BA17" s="21" t="n">
        <v>38114.16</v>
      </c>
      <c r="BB17" s="21" t="n">
        <v>7779.24</v>
      </c>
      <c r="BC17" s="21" t="n">
        <v>3889.62</v>
      </c>
      <c r="BD17" s="21" t="n">
        <v>149734.2</v>
      </c>
      <c r="BE17" s="21" t="n">
        <v>74867.10000000001</v>
      </c>
      <c r="BF17" s="21" t="n">
        <v>15280.66</v>
      </c>
      <c r="BG17" s="21" t="n">
        <v>7640.33</v>
      </c>
      <c r="BH17" s="21" t="n">
        <v>0</v>
      </c>
      <c r="BI17" s="21" t="n">
        <v>0</v>
      </c>
      <c r="BJ17" s="21" t="n">
        <v>0</v>
      </c>
      <c r="BK17" s="21">
        <f>IF(LOWER(W17)="yes",X17,0)</f>
        <v/>
      </c>
      <c r="BL17" s="21">
        <f>IF(LOWER(W17)="yes",Z17,0)</f>
        <v/>
      </c>
      <c r="BM17" s="21">
        <f>IF(LOWER(W17)="yes",AB17,0)</f>
        <v/>
      </c>
      <c r="BN17" s="21">
        <f>AQ17+AU17+AX17+BH17+AD17</f>
        <v/>
      </c>
      <c r="BO17" s="21">
        <f>AR17+BA17+BC17+BI17</f>
        <v/>
      </c>
      <c r="BP17" s="21">
        <f>AS17+BE17+BG17+BJ17</f>
        <v/>
      </c>
      <c r="BQ17" s="21">
        <f>BN17+BO17+BP17</f>
        <v/>
      </c>
      <c r="BR17" s="21">
        <f>F17*(AF17+AG17)</f>
        <v/>
      </c>
      <c r="BS17" s="21">
        <f>G17*AG17</f>
        <v/>
      </c>
      <c r="BT17" s="21">
        <f>H17*AG17</f>
        <v/>
      </c>
      <c r="BU17" s="21">
        <f>BR17+BS17+BT17</f>
        <v/>
      </c>
      <c r="BV17" s="21">
        <f>BN17-BR17</f>
        <v/>
      </c>
      <c r="BW17" s="21">
        <f>BO17-BS17</f>
        <v/>
      </c>
      <c r="BX17" s="21">
        <f>BP17-BT17</f>
        <v/>
      </c>
      <c r="BY17" s="21">
        <f>BV17+BW17+BX17</f>
        <v/>
      </c>
      <c r="BZ17" s="22">
        <f>BN17*E17</f>
        <v/>
      </c>
      <c r="CA17" s="22">
        <f>BQ17*E17</f>
        <v/>
      </c>
      <c r="CB17" s="22">
        <f>BV17*E17</f>
        <v/>
      </c>
      <c r="CC17" s="22">
        <f>BY17*E17</f>
        <v/>
      </c>
      <c r="CD17" s="21">
        <f>AN17+AV17+AY17+AE17</f>
        <v/>
      </c>
      <c r="CE17" s="21">
        <f>AO17+AZ17*(1-Parameters!$B$5)+BB17*(1-Parameters!$B$5)</f>
        <v/>
      </c>
      <c r="CF17" s="21">
        <f>AP17+BD17*(1-Parameters!$B$5)+BF17*(1-Parameters!$B$5)</f>
        <v/>
      </c>
      <c r="CG17" s="21">
        <f>CD17+CE17+CF17</f>
        <v/>
      </c>
      <c r="CH17" s="21">
        <f>BK17</f>
        <v/>
      </c>
      <c r="CI17" s="21">
        <f>BL17</f>
        <v/>
      </c>
      <c r="CJ17" s="21">
        <f>BM17</f>
        <v/>
      </c>
      <c r="CK17" s="21">
        <f>CH17+CI17+CJ17</f>
        <v/>
      </c>
      <c r="CL17" s="21">
        <f>CD17-CH17</f>
        <v/>
      </c>
      <c r="CM17" s="21">
        <f>CE17-CI17</f>
        <v/>
      </c>
      <c r="CN17" s="21">
        <f>CF17-CJ17</f>
        <v/>
      </c>
      <c r="CO17" s="21">
        <f>CL17+CM17+CN17</f>
        <v/>
      </c>
      <c r="CP17" s="23">
        <f>IF(F17=0,0,CL17/F17)</f>
        <v/>
      </c>
      <c r="CQ17" s="23">
        <f>IF((F17+G17+H17)=0,0,CO17/(F17+G17+H17))</f>
        <v/>
      </c>
      <c r="CR17" s="22">
        <f>CL17*E17</f>
        <v/>
      </c>
      <c r="CS17" s="22">
        <f>CO17*E17</f>
        <v/>
      </c>
      <c r="CT17" s="21">
        <f>AT17+AW17</f>
        <v/>
      </c>
      <c r="CU17" s="21">
        <f>AQ17+BH17+AD17</f>
        <v/>
      </c>
      <c r="CV17" s="21">
        <f>AQ17</f>
        <v/>
      </c>
      <c r="CW17" s="22">
        <f>CV17*E17</f>
        <v/>
      </c>
    </row>
    <row r="18">
      <c r="A18" s="14" t="inlineStr">
        <is>
          <t>rapha</t>
        </is>
      </c>
      <c r="B18" s="14" t="inlineStr">
        <is>
          <t>Rapha Racing Limited</t>
        </is>
      </c>
      <c r="C18" s="14" t="inlineStr">
        <is>
          <t>likely</t>
        </is>
      </c>
      <c r="D18" s="14" t="inlineStr">
        <is>
          <t>GBP</t>
        </is>
      </c>
      <c r="E18" s="15" t="n">
        <v>1.92</v>
      </c>
      <c r="F18" s="16" t="n">
        <v>13000</v>
      </c>
      <c r="G18" s="16" t="n">
        <v>15000</v>
      </c>
      <c r="H18" s="16" t="n">
        <v>18000</v>
      </c>
      <c r="I18" s="17" t="n">
        <v>0.08799999999999999</v>
      </c>
      <c r="J18" s="17" t="n">
        <v>0.132</v>
      </c>
      <c r="K18" s="17" t="n">
        <v>0.176</v>
      </c>
      <c r="L18" s="18" t="n">
        <v>1</v>
      </c>
      <c r="M18" s="18" t="n">
        <v>1</v>
      </c>
      <c r="N18" s="18" t="n">
        <v>1</v>
      </c>
      <c r="O18" s="19" t="n">
        <v>6</v>
      </c>
      <c r="P18" s="19" t="n">
        <v>20</v>
      </c>
      <c r="Q18" s="19" t="n">
        <v>6</v>
      </c>
      <c r="R18" s="19" t="n">
        <v>20</v>
      </c>
      <c r="S18" s="19" t="n">
        <v>279.3000437062937</v>
      </c>
      <c r="T18" s="17" t="n">
        <v>0.08</v>
      </c>
      <c r="U18" s="17" t="n">
        <v>0.3</v>
      </c>
      <c r="V18" s="19" t="n">
        <v>6.451689976689976</v>
      </c>
      <c r="W18" s="14" t="inlineStr">
        <is>
          <t>no</t>
        </is>
      </c>
      <c r="X18" s="19" t="n">
        <v>0</v>
      </c>
      <c r="Y18" s="19" t="n">
        <v>0</v>
      </c>
      <c r="Z18" s="19" t="n">
        <v>0</v>
      </c>
      <c r="AA18" s="19" t="n">
        <v>0</v>
      </c>
      <c r="AB18" s="19" t="n">
        <v>0</v>
      </c>
      <c r="AC18" s="19" t="n">
        <v>0</v>
      </c>
      <c r="AD18" s="19" t="n">
        <v>5000</v>
      </c>
      <c r="AE18" s="19" t="n">
        <v>0</v>
      </c>
      <c r="AF18" s="19" t="n">
        <v>0.5</v>
      </c>
      <c r="AG18" s="19" t="n">
        <v>1</v>
      </c>
      <c r="AH18" s="20">
        <f>F18*I18*L18</f>
        <v/>
      </c>
      <c r="AI18" s="20">
        <f>G18*J18*M18</f>
        <v/>
      </c>
      <c r="AJ18" s="20">
        <f>H18*K18*N18</f>
        <v/>
      </c>
      <c r="AK18" s="20">
        <f>AH18+AI18+AJ18</f>
        <v/>
      </c>
      <c r="AL18" s="21">
        <f>P18-O18</f>
        <v/>
      </c>
      <c r="AM18" s="21">
        <f>R18-Q18</f>
        <v/>
      </c>
      <c r="AN18" s="21">
        <f>F18*AL18</f>
        <v/>
      </c>
      <c r="AO18" s="21">
        <f>G18*AM18</f>
        <v/>
      </c>
      <c r="AP18" s="21">
        <f>H18*AM18</f>
        <v/>
      </c>
      <c r="AQ18" s="21" t="n">
        <v>78000</v>
      </c>
      <c r="AR18" s="21" t="n">
        <v>90000</v>
      </c>
      <c r="AS18" s="21" t="n">
        <v>108000</v>
      </c>
      <c r="AT18" s="21" t="n">
        <v>25561.54</v>
      </c>
      <c r="AU18" s="21" t="n">
        <v>12780.77</v>
      </c>
      <c r="AV18" s="21">
        <f>AT18*(1-Parameters!$B$5)</f>
        <v/>
      </c>
      <c r="AW18" s="21" t="n">
        <v>2214.22</v>
      </c>
      <c r="AX18" s="21" t="n">
        <v>1107.11</v>
      </c>
      <c r="AY18" s="21">
        <f>AW18*(1-Parameters!$B$5)</f>
        <v/>
      </c>
      <c r="AZ18" s="21" t="n">
        <v>44241.12</v>
      </c>
      <c r="BA18" s="21" t="n">
        <v>22120.56</v>
      </c>
      <c r="BB18" s="21" t="n">
        <v>3832.3</v>
      </c>
      <c r="BC18" s="21" t="n">
        <v>1916.15</v>
      </c>
      <c r="BD18" s="21" t="n">
        <v>70785.8</v>
      </c>
      <c r="BE18" s="21" t="n">
        <v>35392.9</v>
      </c>
      <c r="BF18" s="21" t="n">
        <v>6131.66</v>
      </c>
      <c r="BG18" s="21" t="n">
        <v>3065.83</v>
      </c>
      <c r="BH18" s="21" t="n">
        <v>0</v>
      </c>
      <c r="BI18" s="21" t="n">
        <v>0</v>
      </c>
      <c r="BJ18" s="21" t="n">
        <v>0</v>
      </c>
      <c r="BK18" s="21">
        <f>IF(LOWER(W18)="yes",X18,0)</f>
        <v/>
      </c>
      <c r="BL18" s="21">
        <f>IF(LOWER(W18)="yes",Z18,0)</f>
        <v/>
      </c>
      <c r="BM18" s="21">
        <f>IF(LOWER(W18)="yes",AB18,0)</f>
        <v/>
      </c>
      <c r="BN18" s="21">
        <f>AQ18+AU18+AX18+BH18+AD18</f>
        <v/>
      </c>
      <c r="BO18" s="21">
        <f>AR18+BA18+BC18+BI18</f>
        <v/>
      </c>
      <c r="BP18" s="21">
        <f>AS18+BE18+BG18+BJ18</f>
        <v/>
      </c>
      <c r="BQ18" s="21">
        <f>BN18+BO18+BP18</f>
        <v/>
      </c>
      <c r="BR18" s="21">
        <f>F18*(AF18+AG18)</f>
        <v/>
      </c>
      <c r="BS18" s="21">
        <f>G18*AG18</f>
        <v/>
      </c>
      <c r="BT18" s="21">
        <f>H18*AG18</f>
        <v/>
      </c>
      <c r="BU18" s="21">
        <f>BR18+BS18+BT18</f>
        <v/>
      </c>
      <c r="BV18" s="21">
        <f>BN18-BR18</f>
        <v/>
      </c>
      <c r="BW18" s="21">
        <f>BO18-BS18</f>
        <v/>
      </c>
      <c r="BX18" s="21">
        <f>BP18-BT18</f>
        <v/>
      </c>
      <c r="BY18" s="21">
        <f>BV18+BW18+BX18</f>
        <v/>
      </c>
      <c r="BZ18" s="22">
        <f>BN18*E18</f>
        <v/>
      </c>
      <c r="CA18" s="22">
        <f>BQ18*E18</f>
        <v/>
      </c>
      <c r="CB18" s="22">
        <f>BV18*E18</f>
        <v/>
      </c>
      <c r="CC18" s="22">
        <f>BY18*E18</f>
        <v/>
      </c>
      <c r="CD18" s="21">
        <f>AN18+AV18+AY18+AE18</f>
        <v/>
      </c>
      <c r="CE18" s="21">
        <f>AO18+AZ18*(1-Parameters!$B$5)+BB18*(1-Parameters!$B$5)</f>
        <v/>
      </c>
      <c r="CF18" s="21">
        <f>AP18+BD18*(1-Parameters!$B$5)+BF18*(1-Parameters!$B$5)</f>
        <v/>
      </c>
      <c r="CG18" s="21">
        <f>CD18+CE18+CF18</f>
        <v/>
      </c>
      <c r="CH18" s="21">
        <f>BK18</f>
        <v/>
      </c>
      <c r="CI18" s="21">
        <f>BL18</f>
        <v/>
      </c>
      <c r="CJ18" s="21">
        <f>BM18</f>
        <v/>
      </c>
      <c r="CK18" s="21">
        <f>CH18+CI18+CJ18</f>
        <v/>
      </c>
      <c r="CL18" s="21">
        <f>CD18-CH18</f>
        <v/>
      </c>
      <c r="CM18" s="21">
        <f>CE18-CI18</f>
        <v/>
      </c>
      <c r="CN18" s="21">
        <f>CF18-CJ18</f>
        <v/>
      </c>
      <c r="CO18" s="21">
        <f>CL18+CM18+CN18</f>
        <v/>
      </c>
      <c r="CP18" s="23">
        <f>IF(F18=0,0,CL18/F18)</f>
        <v/>
      </c>
      <c r="CQ18" s="23">
        <f>IF((F18+G18+H18)=0,0,CO18/(F18+G18+H18))</f>
        <v/>
      </c>
      <c r="CR18" s="22">
        <f>CL18*E18</f>
        <v/>
      </c>
      <c r="CS18" s="22">
        <f>CO18*E18</f>
        <v/>
      </c>
      <c r="CT18" s="21">
        <f>AT18+AW18</f>
        <v/>
      </c>
      <c r="CU18" s="21">
        <f>AQ18+BH18+AD18</f>
        <v/>
      </c>
      <c r="CV18" s="21">
        <f>AQ18</f>
        <v/>
      </c>
      <c r="CW18" s="22">
        <f>CV18*E18</f>
        <v/>
      </c>
    </row>
    <row r="19">
      <c r="A19" s="14" t="inlineStr">
        <is>
          <t>sailing-au</t>
        </is>
      </c>
      <c r="B19" s="14" t="inlineStr">
        <is>
          <t>Australian Sailing</t>
        </is>
      </c>
      <c r="C19" s="14" t="inlineStr">
        <is>
          <t>base</t>
        </is>
      </c>
      <c r="D19" s="14" t="inlineStr">
        <is>
          <t>AUD</t>
        </is>
      </c>
      <c r="E19" s="15" t="n">
        <v>1</v>
      </c>
      <c r="F19" s="16" t="n">
        <v>100000</v>
      </c>
      <c r="G19" s="16" t="n">
        <v>100000</v>
      </c>
      <c r="H19" s="16" t="n">
        <v>100000</v>
      </c>
      <c r="I19" s="17" t="n">
        <v>0.02</v>
      </c>
      <c r="J19" s="17" t="n">
        <v>0.02</v>
      </c>
      <c r="K19" s="17" t="n">
        <v>0.03</v>
      </c>
      <c r="L19" s="18" t="n">
        <v>1</v>
      </c>
      <c r="M19" s="18" t="n">
        <v>1</v>
      </c>
      <c r="N19" s="18" t="n">
        <v>1</v>
      </c>
      <c r="O19" s="19" t="n">
        <v>3</v>
      </c>
      <c r="P19" s="19" t="n">
        <v>4.5</v>
      </c>
      <c r="Q19" s="19" t="n">
        <v>3</v>
      </c>
      <c r="R19" s="19" t="n">
        <v>4.5</v>
      </c>
      <c r="S19" s="19" t="n">
        <v>282.24</v>
      </c>
      <c r="T19" s="17" t="n">
        <v>0.08</v>
      </c>
      <c r="U19" s="17" t="n">
        <v>0.3</v>
      </c>
      <c r="V19" s="19" t="n">
        <v>5.455333333333333</v>
      </c>
      <c r="W19" s="14" t="inlineStr">
        <is>
          <t>no</t>
        </is>
      </c>
      <c r="X19" s="19" t="n">
        <v>0</v>
      </c>
      <c r="Y19" s="19" t="n">
        <v>0</v>
      </c>
      <c r="Z19" s="19" t="n">
        <v>0</v>
      </c>
      <c r="AA19" s="19" t="n">
        <v>0</v>
      </c>
      <c r="AB19" s="19" t="n">
        <v>0</v>
      </c>
      <c r="AC19" s="19" t="n">
        <v>0</v>
      </c>
      <c r="AD19" s="19" t="n">
        <v>0</v>
      </c>
      <c r="AE19" s="19" t="n">
        <v>0</v>
      </c>
      <c r="AF19" s="19" t="n">
        <v>0.3</v>
      </c>
      <c r="AG19" s="19" t="n">
        <v>0.5</v>
      </c>
      <c r="AH19" s="20">
        <f>F19*I19*L19</f>
        <v/>
      </c>
      <c r="AI19" s="20">
        <f>G19*J19*M19</f>
        <v/>
      </c>
      <c r="AJ19" s="20">
        <f>H19*K19*N19</f>
        <v/>
      </c>
      <c r="AK19" s="20">
        <f>AH19+AI19+AJ19</f>
        <v/>
      </c>
      <c r="AL19" s="21">
        <f>P19-O19</f>
        <v/>
      </c>
      <c r="AM19" s="21">
        <f>R19-Q19</f>
        <v/>
      </c>
      <c r="AN19" s="21">
        <f>F19*AL19</f>
        <v/>
      </c>
      <c r="AO19" s="21">
        <f>G19*AM19</f>
        <v/>
      </c>
      <c r="AP19" s="21">
        <f>H19*AM19</f>
        <v/>
      </c>
      <c r="AQ19" s="21" t="n">
        <v>300000</v>
      </c>
      <c r="AR19" s="21" t="n">
        <v>300000</v>
      </c>
      <c r="AS19" s="21" t="n">
        <v>300000</v>
      </c>
      <c r="AT19" s="21" t="n">
        <v>45158.4</v>
      </c>
      <c r="AU19" s="21" t="n">
        <v>22579.2</v>
      </c>
      <c r="AV19" s="21">
        <f>AT19*(1-Parameters!$B$5)</f>
        <v/>
      </c>
      <c r="AW19" s="21" t="n">
        <v>3273.2</v>
      </c>
      <c r="AX19" s="21" t="n">
        <v>1636.6</v>
      </c>
      <c r="AY19" s="21">
        <f>AW19*(1-Parameters!$B$5)</f>
        <v/>
      </c>
      <c r="AZ19" s="21" t="n">
        <v>45158.4</v>
      </c>
      <c r="BA19" s="21" t="n">
        <v>22579.2</v>
      </c>
      <c r="BB19" s="21" t="n">
        <v>3273.2</v>
      </c>
      <c r="BC19" s="21" t="n">
        <v>1636.6</v>
      </c>
      <c r="BD19" s="21" t="n">
        <v>67737.60000000001</v>
      </c>
      <c r="BE19" s="21" t="n">
        <v>33868.8</v>
      </c>
      <c r="BF19" s="21" t="n">
        <v>4909.8</v>
      </c>
      <c r="BG19" s="21" t="n">
        <v>2454.9</v>
      </c>
      <c r="BH19" s="21" t="n">
        <v>0</v>
      </c>
      <c r="BI19" s="21" t="n">
        <v>0</v>
      </c>
      <c r="BJ19" s="21" t="n">
        <v>0</v>
      </c>
      <c r="BK19" s="21">
        <f>IF(LOWER(W19)="yes",X19,0)</f>
        <v/>
      </c>
      <c r="BL19" s="21">
        <f>IF(LOWER(W19)="yes",Z19,0)</f>
        <v/>
      </c>
      <c r="BM19" s="21">
        <f>IF(LOWER(W19)="yes",AB19,0)</f>
        <v/>
      </c>
      <c r="BN19" s="21">
        <f>AQ19+AU19+AX19+BH19+AD19</f>
        <v/>
      </c>
      <c r="BO19" s="21">
        <f>AR19+BA19+BC19+BI19</f>
        <v/>
      </c>
      <c r="BP19" s="21">
        <f>AS19+BE19+BG19+BJ19</f>
        <v/>
      </c>
      <c r="BQ19" s="21">
        <f>BN19+BO19+BP19</f>
        <v/>
      </c>
      <c r="BR19" s="21">
        <f>F19*(AF19+AG19)</f>
        <v/>
      </c>
      <c r="BS19" s="21">
        <f>G19*AG19</f>
        <v/>
      </c>
      <c r="BT19" s="21">
        <f>H19*AG19</f>
        <v/>
      </c>
      <c r="BU19" s="21">
        <f>BR19+BS19+BT19</f>
        <v/>
      </c>
      <c r="BV19" s="21">
        <f>BN19-BR19</f>
        <v/>
      </c>
      <c r="BW19" s="21">
        <f>BO19-BS19</f>
        <v/>
      </c>
      <c r="BX19" s="21">
        <f>BP19-BT19</f>
        <v/>
      </c>
      <c r="BY19" s="21">
        <f>BV19+BW19+BX19</f>
        <v/>
      </c>
      <c r="BZ19" s="22">
        <f>BN19*E19</f>
        <v/>
      </c>
      <c r="CA19" s="22">
        <f>BQ19*E19</f>
        <v/>
      </c>
      <c r="CB19" s="22">
        <f>BV19*E19</f>
        <v/>
      </c>
      <c r="CC19" s="22">
        <f>BY19*E19</f>
        <v/>
      </c>
      <c r="CD19" s="21">
        <f>AN19+AV19+AY19+AE19</f>
        <v/>
      </c>
      <c r="CE19" s="21">
        <f>AO19+AZ19*(1-Parameters!$B$5)+BB19*(1-Parameters!$B$5)</f>
        <v/>
      </c>
      <c r="CF19" s="21">
        <f>AP19+BD19*(1-Parameters!$B$5)+BF19*(1-Parameters!$B$5)</f>
        <v/>
      </c>
      <c r="CG19" s="21">
        <f>CD19+CE19+CF19</f>
        <v/>
      </c>
      <c r="CH19" s="21">
        <f>BK19</f>
        <v/>
      </c>
      <c r="CI19" s="21">
        <f>BL19</f>
        <v/>
      </c>
      <c r="CJ19" s="21">
        <f>BM19</f>
        <v/>
      </c>
      <c r="CK19" s="21">
        <f>CH19+CI19+CJ19</f>
        <v/>
      </c>
      <c r="CL19" s="21">
        <f>CD19-CH19</f>
        <v/>
      </c>
      <c r="CM19" s="21">
        <f>CE19-CI19</f>
        <v/>
      </c>
      <c r="CN19" s="21">
        <f>CF19-CJ19</f>
        <v/>
      </c>
      <c r="CO19" s="21">
        <f>CL19+CM19+CN19</f>
        <v/>
      </c>
      <c r="CP19" s="23">
        <f>IF(F19=0,0,CL19/F19)</f>
        <v/>
      </c>
      <c r="CQ19" s="23">
        <f>IF((F19+G19+H19)=0,0,CO19/(F19+G19+H19))</f>
        <v/>
      </c>
      <c r="CR19" s="22">
        <f>CL19*E19</f>
        <v/>
      </c>
      <c r="CS19" s="22">
        <f>CO19*E19</f>
        <v/>
      </c>
      <c r="CT19" s="21">
        <f>AT19+AW19</f>
        <v/>
      </c>
      <c r="CU19" s="21">
        <f>AQ19+BH19+AD19</f>
        <v/>
      </c>
      <c r="CV19" s="21">
        <f>AQ19</f>
        <v/>
      </c>
      <c r="CW19" s="22">
        <f>CV19*E19</f>
        <v/>
      </c>
    </row>
    <row r="20">
      <c r="A20" s="14" t="inlineStr">
        <is>
          <t>sailing-au</t>
        </is>
      </c>
      <c r="B20" s="14" t="inlineStr">
        <is>
          <t>Australian Sailing</t>
        </is>
      </c>
      <c r="C20" s="14" t="inlineStr">
        <is>
          <t>high</t>
        </is>
      </c>
      <c r="D20" s="14" t="inlineStr">
        <is>
          <t>AUD</t>
        </is>
      </c>
      <c r="E20" s="15" t="n">
        <v>1</v>
      </c>
      <c r="F20" s="16" t="n">
        <v>100000</v>
      </c>
      <c r="G20" s="16" t="n">
        <v>100000</v>
      </c>
      <c r="H20" s="16" t="n">
        <v>100000</v>
      </c>
      <c r="I20" s="17" t="n">
        <v>0.075</v>
      </c>
      <c r="J20" s="17" t="n">
        <v>0.09</v>
      </c>
      <c r="K20" s="17" t="n">
        <v>0.105</v>
      </c>
      <c r="L20" s="18" t="n">
        <v>1</v>
      </c>
      <c r="M20" s="18" t="n">
        <v>1</v>
      </c>
      <c r="N20" s="18" t="n">
        <v>1</v>
      </c>
      <c r="O20" s="19" t="n">
        <v>4</v>
      </c>
      <c r="P20" s="19" t="n">
        <v>6</v>
      </c>
      <c r="Q20" s="19" t="n">
        <v>4</v>
      </c>
      <c r="R20" s="19" t="n">
        <v>6</v>
      </c>
      <c r="S20" s="19" t="n">
        <v>866.5650000000001</v>
      </c>
      <c r="T20" s="17" t="n">
        <v>0.08</v>
      </c>
      <c r="U20" s="17" t="n">
        <v>0.3</v>
      </c>
      <c r="V20" s="19" t="n">
        <v>10.9956</v>
      </c>
      <c r="W20" s="14" t="inlineStr">
        <is>
          <t>no</t>
        </is>
      </c>
      <c r="X20" s="19" t="n">
        <v>0</v>
      </c>
      <c r="Y20" s="19" t="n">
        <v>0</v>
      </c>
      <c r="Z20" s="19" t="n">
        <v>0</v>
      </c>
      <c r="AA20" s="19" t="n">
        <v>0</v>
      </c>
      <c r="AB20" s="19" t="n">
        <v>0</v>
      </c>
      <c r="AC20" s="19" t="n">
        <v>0</v>
      </c>
      <c r="AD20" s="19" t="n">
        <v>0</v>
      </c>
      <c r="AE20" s="19" t="n">
        <v>0</v>
      </c>
      <c r="AF20" s="19" t="n">
        <v>0.3</v>
      </c>
      <c r="AG20" s="19" t="n">
        <v>0.5</v>
      </c>
      <c r="AH20" s="20">
        <f>F20*I20*L20</f>
        <v/>
      </c>
      <c r="AI20" s="20">
        <f>G20*J20*M20</f>
        <v/>
      </c>
      <c r="AJ20" s="20">
        <f>H20*K20*N20</f>
        <v/>
      </c>
      <c r="AK20" s="20">
        <f>AH20+AI20+AJ20</f>
        <v/>
      </c>
      <c r="AL20" s="21">
        <f>P20-O20</f>
        <v/>
      </c>
      <c r="AM20" s="21">
        <f>R20-Q20</f>
        <v/>
      </c>
      <c r="AN20" s="21">
        <f>F20*AL20</f>
        <v/>
      </c>
      <c r="AO20" s="21">
        <f>G20*AM20</f>
        <v/>
      </c>
      <c r="AP20" s="21">
        <f>H20*AM20</f>
        <v/>
      </c>
      <c r="AQ20" s="21" t="n">
        <v>400000</v>
      </c>
      <c r="AR20" s="21" t="n">
        <v>400000</v>
      </c>
      <c r="AS20" s="21" t="n">
        <v>400000</v>
      </c>
      <c r="AT20" s="21" t="n">
        <v>519939</v>
      </c>
      <c r="AU20" s="21" t="n">
        <v>259969.5</v>
      </c>
      <c r="AV20" s="21">
        <f>AT20*(1-Parameters!$B$5)</f>
        <v/>
      </c>
      <c r="AW20" s="21" t="n">
        <v>24740.1</v>
      </c>
      <c r="AX20" s="21" t="n">
        <v>12370.05</v>
      </c>
      <c r="AY20" s="21">
        <f>AW20*(1-Parameters!$B$5)</f>
        <v/>
      </c>
      <c r="AZ20" s="21" t="n">
        <v>623926.8</v>
      </c>
      <c r="BA20" s="21" t="n">
        <v>311963.4</v>
      </c>
      <c r="BB20" s="21" t="n">
        <v>29688.12</v>
      </c>
      <c r="BC20" s="21" t="n">
        <v>14844.06</v>
      </c>
      <c r="BD20" s="21" t="n">
        <v>727914.6</v>
      </c>
      <c r="BE20" s="21" t="n">
        <v>363957.3</v>
      </c>
      <c r="BF20" s="21" t="n">
        <v>34636.14</v>
      </c>
      <c r="BG20" s="21" t="n">
        <v>17318.07</v>
      </c>
      <c r="BH20" s="21" t="n">
        <v>0</v>
      </c>
      <c r="BI20" s="21" t="n">
        <v>0</v>
      </c>
      <c r="BJ20" s="21" t="n">
        <v>0</v>
      </c>
      <c r="BK20" s="21">
        <f>IF(LOWER(W20)="yes",X20,0)</f>
        <v/>
      </c>
      <c r="BL20" s="21">
        <f>IF(LOWER(W20)="yes",Z20,0)</f>
        <v/>
      </c>
      <c r="BM20" s="21">
        <f>IF(LOWER(W20)="yes",AB20,0)</f>
        <v/>
      </c>
      <c r="BN20" s="21">
        <f>AQ20+AU20+AX20+BH20+AD20</f>
        <v/>
      </c>
      <c r="BO20" s="21">
        <f>AR20+BA20+BC20+BI20</f>
        <v/>
      </c>
      <c r="BP20" s="21">
        <f>AS20+BE20+BG20+BJ20</f>
        <v/>
      </c>
      <c r="BQ20" s="21">
        <f>BN20+BO20+BP20</f>
        <v/>
      </c>
      <c r="BR20" s="21">
        <f>F20*(AF20+AG20)</f>
        <v/>
      </c>
      <c r="BS20" s="21">
        <f>G20*AG20</f>
        <v/>
      </c>
      <c r="BT20" s="21">
        <f>H20*AG20</f>
        <v/>
      </c>
      <c r="BU20" s="21">
        <f>BR20+BS20+BT20</f>
        <v/>
      </c>
      <c r="BV20" s="21">
        <f>BN20-BR20</f>
        <v/>
      </c>
      <c r="BW20" s="21">
        <f>BO20-BS20</f>
        <v/>
      </c>
      <c r="BX20" s="21">
        <f>BP20-BT20</f>
        <v/>
      </c>
      <c r="BY20" s="21">
        <f>BV20+BW20+BX20</f>
        <v/>
      </c>
      <c r="BZ20" s="22">
        <f>BN20*E20</f>
        <v/>
      </c>
      <c r="CA20" s="22">
        <f>BQ20*E20</f>
        <v/>
      </c>
      <c r="CB20" s="22">
        <f>BV20*E20</f>
        <v/>
      </c>
      <c r="CC20" s="22">
        <f>BY20*E20</f>
        <v/>
      </c>
      <c r="CD20" s="21">
        <f>AN20+AV20+AY20+AE20</f>
        <v/>
      </c>
      <c r="CE20" s="21">
        <f>AO20+AZ20*(1-Parameters!$B$5)+BB20*(1-Parameters!$B$5)</f>
        <v/>
      </c>
      <c r="CF20" s="21">
        <f>AP20+BD20*(1-Parameters!$B$5)+BF20*(1-Parameters!$B$5)</f>
        <v/>
      </c>
      <c r="CG20" s="21">
        <f>CD20+CE20+CF20</f>
        <v/>
      </c>
      <c r="CH20" s="21">
        <f>BK20</f>
        <v/>
      </c>
      <c r="CI20" s="21">
        <f>BL20</f>
        <v/>
      </c>
      <c r="CJ20" s="21">
        <f>BM20</f>
        <v/>
      </c>
      <c r="CK20" s="21">
        <f>CH20+CI20+CJ20</f>
        <v/>
      </c>
      <c r="CL20" s="21">
        <f>CD20-CH20</f>
        <v/>
      </c>
      <c r="CM20" s="21">
        <f>CE20-CI20</f>
        <v/>
      </c>
      <c r="CN20" s="21">
        <f>CF20-CJ20</f>
        <v/>
      </c>
      <c r="CO20" s="21">
        <f>CL20+CM20+CN20</f>
        <v/>
      </c>
      <c r="CP20" s="23">
        <f>IF(F20=0,0,CL20/F20)</f>
        <v/>
      </c>
      <c r="CQ20" s="23">
        <f>IF((F20+G20+H20)=0,0,CO20/(F20+G20+H20))</f>
        <v/>
      </c>
      <c r="CR20" s="22">
        <f>CL20*E20</f>
        <v/>
      </c>
      <c r="CS20" s="22">
        <f>CO20*E20</f>
        <v/>
      </c>
      <c r="CT20" s="21">
        <f>AT20+AW20</f>
        <v/>
      </c>
      <c r="CU20" s="21">
        <f>AQ20+BH20+AD20</f>
        <v/>
      </c>
      <c r="CV20" s="21">
        <f>AQ20</f>
        <v/>
      </c>
      <c r="CW20" s="22">
        <f>CV20*E20</f>
        <v/>
      </c>
    </row>
    <row r="21">
      <c r="A21" s="14" t="inlineStr">
        <is>
          <t>sailing-au</t>
        </is>
      </c>
      <c r="B21" s="14" t="inlineStr">
        <is>
          <t>Australian Sailing</t>
        </is>
      </c>
      <c r="C21" s="14" t="inlineStr">
        <is>
          <t>likely</t>
        </is>
      </c>
      <c r="D21" s="14" t="inlineStr">
        <is>
          <t>AUD</t>
        </is>
      </c>
      <c r="E21" s="15" t="n">
        <v>1</v>
      </c>
      <c r="F21" s="16" t="n">
        <v>100000</v>
      </c>
      <c r="G21" s="16" t="n">
        <v>100000</v>
      </c>
      <c r="H21" s="16" t="n">
        <v>100000</v>
      </c>
      <c r="I21" s="17" t="n">
        <v>0.048</v>
      </c>
      <c r="J21" s="17" t="n">
        <v>0.064</v>
      </c>
      <c r="K21" s="17" t="n">
        <v>0.08</v>
      </c>
      <c r="L21" s="18" t="n">
        <v>1</v>
      </c>
      <c r="M21" s="18" t="n">
        <v>1</v>
      </c>
      <c r="N21" s="18" t="n">
        <v>1</v>
      </c>
      <c r="O21" s="19" t="n">
        <v>4</v>
      </c>
      <c r="P21" s="19" t="n">
        <v>5</v>
      </c>
      <c r="Q21" s="19" t="n">
        <v>4</v>
      </c>
      <c r="R21" s="19" t="n">
        <v>5</v>
      </c>
      <c r="S21" s="19" t="n">
        <v>698.005</v>
      </c>
      <c r="T21" s="17" t="n">
        <v>0.08</v>
      </c>
      <c r="U21" s="17" t="n">
        <v>0.3</v>
      </c>
      <c r="V21" s="19" t="n">
        <v>13.56319444444444</v>
      </c>
      <c r="W21" s="14" t="inlineStr">
        <is>
          <t>no</t>
        </is>
      </c>
      <c r="X21" s="19" t="n">
        <v>0</v>
      </c>
      <c r="Y21" s="19" t="n">
        <v>0</v>
      </c>
      <c r="Z21" s="19" t="n">
        <v>0</v>
      </c>
      <c r="AA21" s="19" t="n">
        <v>0</v>
      </c>
      <c r="AB21" s="19" t="n">
        <v>0</v>
      </c>
      <c r="AC21" s="19" t="n">
        <v>0</v>
      </c>
      <c r="AD21" s="19" t="n">
        <v>0</v>
      </c>
      <c r="AE21" s="19" t="n">
        <v>0</v>
      </c>
      <c r="AF21" s="19" t="n">
        <v>0.3</v>
      </c>
      <c r="AG21" s="19" t="n">
        <v>0.5</v>
      </c>
      <c r="AH21" s="20">
        <f>F21*I21*L21</f>
        <v/>
      </c>
      <c r="AI21" s="20">
        <f>G21*J21*M21</f>
        <v/>
      </c>
      <c r="AJ21" s="20">
        <f>H21*K21*N21</f>
        <v/>
      </c>
      <c r="AK21" s="20">
        <f>AH21+AI21+AJ21</f>
        <v/>
      </c>
      <c r="AL21" s="21">
        <f>P21-O21</f>
        <v/>
      </c>
      <c r="AM21" s="21">
        <f>R21-Q21</f>
        <v/>
      </c>
      <c r="AN21" s="21">
        <f>F21*AL21</f>
        <v/>
      </c>
      <c r="AO21" s="21">
        <f>G21*AM21</f>
        <v/>
      </c>
      <c r="AP21" s="21">
        <f>H21*AM21</f>
        <v/>
      </c>
      <c r="AQ21" s="21" t="n">
        <v>400000</v>
      </c>
      <c r="AR21" s="21" t="n">
        <v>400000</v>
      </c>
      <c r="AS21" s="21" t="n">
        <v>400000</v>
      </c>
      <c r="AT21" s="21" t="n">
        <v>268033.92</v>
      </c>
      <c r="AU21" s="21" t="n">
        <v>134016.96</v>
      </c>
      <c r="AV21" s="21">
        <f>AT21*(1-Parameters!$B$5)</f>
        <v/>
      </c>
      <c r="AW21" s="21" t="n">
        <v>19531</v>
      </c>
      <c r="AX21" s="21" t="n">
        <v>9765.5</v>
      </c>
      <c r="AY21" s="21">
        <f>AW21*(1-Parameters!$B$5)</f>
        <v/>
      </c>
      <c r="AZ21" s="21" t="n">
        <v>357378.56</v>
      </c>
      <c r="BA21" s="21" t="n">
        <v>178689.28</v>
      </c>
      <c r="BB21" s="21" t="n">
        <v>26041.34</v>
      </c>
      <c r="BC21" s="21" t="n">
        <v>13020.67</v>
      </c>
      <c r="BD21" s="21" t="n">
        <v>446723.2</v>
      </c>
      <c r="BE21" s="21" t="n">
        <v>223361.6</v>
      </c>
      <c r="BF21" s="21" t="n">
        <v>32551.68</v>
      </c>
      <c r="BG21" s="21" t="n">
        <v>16275.84</v>
      </c>
      <c r="BH21" s="21" t="n">
        <v>0</v>
      </c>
      <c r="BI21" s="21" t="n">
        <v>0</v>
      </c>
      <c r="BJ21" s="21" t="n">
        <v>0</v>
      </c>
      <c r="BK21" s="21">
        <f>IF(LOWER(W21)="yes",X21,0)</f>
        <v/>
      </c>
      <c r="BL21" s="21">
        <f>IF(LOWER(W21)="yes",Z21,0)</f>
        <v/>
      </c>
      <c r="BM21" s="21">
        <f>IF(LOWER(W21)="yes",AB21,0)</f>
        <v/>
      </c>
      <c r="BN21" s="21">
        <f>AQ21+AU21+AX21+BH21+AD21</f>
        <v/>
      </c>
      <c r="BO21" s="21">
        <f>AR21+BA21+BC21+BI21</f>
        <v/>
      </c>
      <c r="BP21" s="21">
        <f>AS21+BE21+BG21+BJ21</f>
        <v/>
      </c>
      <c r="BQ21" s="21">
        <f>BN21+BO21+BP21</f>
        <v/>
      </c>
      <c r="BR21" s="21">
        <f>F21*(AF21+AG21)</f>
        <v/>
      </c>
      <c r="BS21" s="21">
        <f>G21*AG21</f>
        <v/>
      </c>
      <c r="BT21" s="21">
        <f>H21*AG21</f>
        <v/>
      </c>
      <c r="BU21" s="21">
        <f>BR21+BS21+BT21</f>
        <v/>
      </c>
      <c r="BV21" s="21">
        <f>BN21-BR21</f>
        <v/>
      </c>
      <c r="BW21" s="21">
        <f>BO21-BS21</f>
        <v/>
      </c>
      <c r="BX21" s="21">
        <f>BP21-BT21</f>
        <v/>
      </c>
      <c r="BY21" s="21">
        <f>BV21+BW21+BX21</f>
        <v/>
      </c>
      <c r="BZ21" s="22">
        <f>BN21*E21</f>
        <v/>
      </c>
      <c r="CA21" s="22">
        <f>BQ21*E21</f>
        <v/>
      </c>
      <c r="CB21" s="22">
        <f>BV21*E21</f>
        <v/>
      </c>
      <c r="CC21" s="22">
        <f>BY21*E21</f>
        <v/>
      </c>
      <c r="CD21" s="21">
        <f>AN21+AV21+AY21+AE21</f>
        <v/>
      </c>
      <c r="CE21" s="21">
        <f>AO21+AZ21*(1-Parameters!$B$5)+BB21*(1-Parameters!$B$5)</f>
        <v/>
      </c>
      <c r="CF21" s="21">
        <f>AP21+BD21*(1-Parameters!$B$5)+BF21*(1-Parameters!$B$5)</f>
        <v/>
      </c>
      <c r="CG21" s="21">
        <f>CD21+CE21+CF21</f>
        <v/>
      </c>
      <c r="CH21" s="21">
        <f>BK21</f>
        <v/>
      </c>
      <c r="CI21" s="21">
        <f>BL21</f>
        <v/>
      </c>
      <c r="CJ21" s="21">
        <f>BM21</f>
        <v/>
      </c>
      <c r="CK21" s="21">
        <f>CH21+CI21+CJ21</f>
        <v/>
      </c>
      <c r="CL21" s="21">
        <f>CD21-CH21</f>
        <v/>
      </c>
      <c r="CM21" s="21">
        <f>CE21-CI21</f>
        <v/>
      </c>
      <c r="CN21" s="21">
        <f>CF21-CJ21</f>
        <v/>
      </c>
      <c r="CO21" s="21">
        <f>CL21+CM21+CN21</f>
        <v/>
      </c>
      <c r="CP21" s="23">
        <f>IF(F21=0,0,CL21/F21)</f>
        <v/>
      </c>
      <c r="CQ21" s="23">
        <f>IF((F21+G21+H21)=0,0,CO21/(F21+G21+H21))</f>
        <v/>
      </c>
      <c r="CR21" s="22">
        <f>CL21*E21</f>
        <v/>
      </c>
      <c r="CS21" s="22">
        <f>CO21*E21</f>
        <v/>
      </c>
      <c r="CT21" s="21">
        <f>AT21+AW21</f>
        <v/>
      </c>
      <c r="CU21" s="21">
        <f>AQ21+BH21+AD21</f>
        <v/>
      </c>
      <c r="CV21" s="21">
        <f>AQ21</f>
        <v/>
      </c>
      <c r="CW21" s="22">
        <f>CV21*E21</f>
        <v/>
      </c>
    </row>
    <row r="22">
      <c r="A22" s="14" t="inlineStr">
        <is>
          <t>volleyball-world</t>
        </is>
      </c>
      <c r="B22" s="14" t="inlineStr">
        <is>
          <t>Volleyball World (FIVB)</t>
        </is>
      </c>
      <c r="C22" s="14" t="inlineStr">
        <is>
          <t>base</t>
        </is>
      </c>
      <c r="D22" s="14" t="inlineStr">
        <is>
          <t>AUD</t>
        </is>
      </c>
      <c r="E22" s="15" t="n">
        <v>1</v>
      </c>
      <c r="F22" s="16" t="n">
        <v>50000</v>
      </c>
      <c r="G22" s="16" t="n">
        <v>120000</v>
      </c>
      <c r="H22" s="16" t="n">
        <v>200000</v>
      </c>
      <c r="I22" s="17" t="n">
        <v>0.02</v>
      </c>
      <c r="J22" s="17" t="n">
        <v>0.025</v>
      </c>
      <c r="K22" s="17" t="n">
        <v>0.03</v>
      </c>
      <c r="L22" s="18" t="n">
        <v>1</v>
      </c>
      <c r="M22" s="18" t="n">
        <v>1</v>
      </c>
      <c r="N22" s="18" t="n">
        <v>1</v>
      </c>
      <c r="O22" s="19" t="n">
        <v>2</v>
      </c>
      <c r="P22" s="19" t="n">
        <v>3</v>
      </c>
      <c r="Q22" s="19" t="n">
        <v>2</v>
      </c>
      <c r="R22" s="19" t="n">
        <v>3</v>
      </c>
      <c r="S22" s="19" t="n">
        <v>343</v>
      </c>
      <c r="T22" s="17" t="n">
        <v>0.08</v>
      </c>
      <c r="U22" s="17" t="n">
        <v>0.3</v>
      </c>
      <c r="V22" s="19" t="n">
        <v>3.4996</v>
      </c>
      <c r="W22" s="14" t="inlineStr">
        <is>
          <t>no</t>
        </is>
      </c>
      <c r="X22" s="19" t="n">
        <v>0</v>
      </c>
      <c r="Y22" s="19" t="n">
        <v>0</v>
      </c>
      <c r="Z22" s="19" t="n">
        <v>0</v>
      </c>
      <c r="AA22" s="19" t="n">
        <v>0</v>
      </c>
      <c r="AB22" s="19" t="n">
        <v>0</v>
      </c>
      <c r="AC22" s="19" t="n">
        <v>0</v>
      </c>
      <c r="AD22" s="19" t="n">
        <v>0</v>
      </c>
      <c r="AE22" s="19" t="n">
        <v>0</v>
      </c>
      <c r="AF22" s="19" t="n">
        <v>0.3</v>
      </c>
      <c r="AG22" s="19" t="n">
        <v>0.5</v>
      </c>
      <c r="AH22" s="20">
        <f>F22*I22*L22</f>
        <v/>
      </c>
      <c r="AI22" s="20">
        <f>G22*J22*M22</f>
        <v/>
      </c>
      <c r="AJ22" s="20">
        <f>H22*K22*N22</f>
        <v/>
      </c>
      <c r="AK22" s="20">
        <f>AH22+AI22+AJ22</f>
        <v/>
      </c>
      <c r="AL22" s="21">
        <f>P22-O22</f>
        <v/>
      </c>
      <c r="AM22" s="21">
        <f>R22-Q22</f>
        <v/>
      </c>
      <c r="AN22" s="21">
        <f>F22*AL22</f>
        <v/>
      </c>
      <c r="AO22" s="21">
        <f>G22*AM22</f>
        <v/>
      </c>
      <c r="AP22" s="21">
        <f>H22*AM22</f>
        <v/>
      </c>
      <c r="AQ22" s="21" t="n">
        <v>100000</v>
      </c>
      <c r="AR22" s="21" t="n">
        <v>240000</v>
      </c>
      <c r="AS22" s="21" t="n">
        <v>400000</v>
      </c>
      <c r="AT22" s="21" t="n">
        <v>27440</v>
      </c>
      <c r="AU22" s="21" t="n">
        <v>13720</v>
      </c>
      <c r="AV22" s="21">
        <f>AT22*(1-Parameters!$B$5)</f>
        <v/>
      </c>
      <c r="AW22" s="21" t="n">
        <v>1049.88</v>
      </c>
      <c r="AX22" s="21" t="n">
        <v>524.9400000000001</v>
      </c>
      <c r="AY22" s="21">
        <f>AW22*(1-Parameters!$B$5)</f>
        <v/>
      </c>
      <c r="AZ22" s="21" t="n">
        <v>82320</v>
      </c>
      <c r="BA22" s="21" t="n">
        <v>41160</v>
      </c>
      <c r="BB22" s="21" t="n">
        <v>3149.62</v>
      </c>
      <c r="BC22" s="21" t="n">
        <v>1574.81</v>
      </c>
      <c r="BD22" s="21" t="n">
        <v>164640</v>
      </c>
      <c r="BE22" s="21" t="n">
        <v>82320</v>
      </c>
      <c r="BF22" s="21" t="n">
        <v>6299.24</v>
      </c>
      <c r="BG22" s="21" t="n">
        <v>3149.62</v>
      </c>
      <c r="BH22" s="21" t="n">
        <v>0</v>
      </c>
      <c r="BI22" s="21" t="n">
        <v>0</v>
      </c>
      <c r="BJ22" s="21" t="n">
        <v>0</v>
      </c>
      <c r="BK22" s="21">
        <f>IF(LOWER(W22)="yes",X22,0)</f>
        <v/>
      </c>
      <c r="BL22" s="21">
        <f>IF(LOWER(W22)="yes",Z22,0)</f>
        <v/>
      </c>
      <c r="BM22" s="21">
        <f>IF(LOWER(W22)="yes",AB22,0)</f>
        <v/>
      </c>
      <c r="BN22" s="21">
        <f>AQ22+AU22+AX22+BH22+AD22</f>
        <v/>
      </c>
      <c r="BO22" s="21">
        <f>AR22+BA22+BC22+BI22</f>
        <v/>
      </c>
      <c r="BP22" s="21">
        <f>AS22+BE22+BG22+BJ22</f>
        <v/>
      </c>
      <c r="BQ22" s="21">
        <f>BN22+BO22+BP22</f>
        <v/>
      </c>
      <c r="BR22" s="21">
        <f>F22*(AF22+AG22)</f>
        <v/>
      </c>
      <c r="BS22" s="21">
        <f>G22*AG22</f>
        <v/>
      </c>
      <c r="BT22" s="21">
        <f>H22*AG22</f>
        <v/>
      </c>
      <c r="BU22" s="21">
        <f>BR22+BS22+BT22</f>
        <v/>
      </c>
      <c r="BV22" s="21">
        <f>BN22-BR22</f>
        <v/>
      </c>
      <c r="BW22" s="21">
        <f>BO22-BS22</f>
        <v/>
      </c>
      <c r="BX22" s="21">
        <f>BP22-BT22</f>
        <v/>
      </c>
      <c r="BY22" s="21">
        <f>BV22+BW22+BX22</f>
        <v/>
      </c>
      <c r="BZ22" s="22">
        <f>BN22*E22</f>
        <v/>
      </c>
      <c r="CA22" s="22">
        <f>BQ22*E22</f>
        <v/>
      </c>
      <c r="CB22" s="22">
        <f>BV22*E22</f>
        <v/>
      </c>
      <c r="CC22" s="22">
        <f>BY22*E22</f>
        <v/>
      </c>
      <c r="CD22" s="21">
        <f>AN22+AV22+AY22+AE22</f>
        <v/>
      </c>
      <c r="CE22" s="21">
        <f>AO22+AZ22*(1-Parameters!$B$5)+BB22*(1-Parameters!$B$5)</f>
        <v/>
      </c>
      <c r="CF22" s="21">
        <f>AP22+BD22*(1-Parameters!$B$5)+BF22*(1-Parameters!$B$5)</f>
        <v/>
      </c>
      <c r="CG22" s="21">
        <f>CD22+CE22+CF22</f>
        <v/>
      </c>
      <c r="CH22" s="21">
        <f>BK22</f>
        <v/>
      </c>
      <c r="CI22" s="21">
        <f>BL22</f>
        <v/>
      </c>
      <c r="CJ22" s="21">
        <f>BM22</f>
        <v/>
      </c>
      <c r="CK22" s="21">
        <f>CH22+CI22+CJ22</f>
        <v/>
      </c>
      <c r="CL22" s="21">
        <f>CD22-CH22</f>
        <v/>
      </c>
      <c r="CM22" s="21">
        <f>CE22-CI22</f>
        <v/>
      </c>
      <c r="CN22" s="21">
        <f>CF22-CJ22</f>
        <v/>
      </c>
      <c r="CO22" s="21">
        <f>CL22+CM22+CN22</f>
        <v/>
      </c>
      <c r="CP22" s="23">
        <f>IF(F22=0,0,CL22/F22)</f>
        <v/>
      </c>
      <c r="CQ22" s="23">
        <f>IF((F22+G22+H22)=0,0,CO22/(F22+G22+H22))</f>
        <v/>
      </c>
      <c r="CR22" s="22">
        <f>CL22*E22</f>
        <v/>
      </c>
      <c r="CS22" s="22">
        <f>CO22*E22</f>
        <v/>
      </c>
      <c r="CT22" s="21">
        <f>AT22+AW22</f>
        <v/>
      </c>
      <c r="CU22" s="21">
        <f>AQ22+BH22+AD22</f>
        <v/>
      </c>
      <c r="CV22" s="21">
        <f>AQ22</f>
        <v/>
      </c>
      <c r="CW22" s="22">
        <f>CV22*E22</f>
        <v/>
      </c>
    </row>
    <row r="23">
      <c r="A23" s="14" t="inlineStr">
        <is>
          <t>volleyball-world</t>
        </is>
      </c>
      <c r="B23" s="14" t="inlineStr">
        <is>
          <t>Volleyball World (FIVB)</t>
        </is>
      </c>
      <c r="C23" s="14" t="inlineStr">
        <is>
          <t>high</t>
        </is>
      </c>
      <c r="D23" s="14" t="inlineStr">
        <is>
          <t>AUD</t>
        </is>
      </c>
      <c r="E23" s="15" t="n">
        <v>1</v>
      </c>
      <c r="F23" s="16" t="n">
        <v>300000</v>
      </c>
      <c r="G23" s="16" t="n">
        <v>300000</v>
      </c>
      <c r="H23" s="16" t="n">
        <v>300000</v>
      </c>
      <c r="I23" s="17" t="n">
        <v>0.039</v>
      </c>
      <c r="J23" s="17" t="n">
        <v>0.052</v>
      </c>
      <c r="K23" s="17" t="n">
        <v>0.065</v>
      </c>
      <c r="L23" s="18" t="n">
        <v>1</v>
      </c>
      <c r="M23" s="18" t="n">
        <v>1</v>
      </c>
      <c r="N23" s="18" t="n">
        <v>1</v>
      </c>
      <c r="O23" s="19" t="n">
        <v>3</v>
      </c>
      <c r="P23" s="19" t="n">
        <v>5</v>
      </c>
      <c r="Q23" s="19" t="n">
        <v>3</v>
      </c>
      <c r="R23" s="19" t="n">
        <v>5</v>
      </c>
      <c r="S23" s="19" t="n">
        <v>686</v>
      </c>
      <c r="T23" s="17" t="n">
        <v>0.08</v>
      </c>
      <c r="U23" s="17" t="n">
        <v>0.3</v>
      </c>
      <c r="V23" s="19" t="n">
        <v>7.00014245014245</v>
      </c>
      <c r="W23" s="14" t="inlineStr">
        <is>
          <t>no</t>
        </is>
      </c>
      <c r="X23" s="19" t="n">
        <v>0</v>
      </c>
      <c r="Y23" s="19" t="n">
        <v>0</v>
      </c>
      <c r="Z23" s="19" t="n">
        <v>0</v>
      </c>
      <c r="AA23" s="19" t="n">
        <v>0</v>
      </c>
      <c r="AB23" s="19" t="n">
        <v>0</v>
      </c>
      <c r="AC23" s="19" t="n">
        <v>0</v>
      </c>
      <c r="AD23" s="19" t="n">
        <v>0</v>
      </c>
      <c r="AE23" s="19" t="n">
        <v>0</v>
      </c>
      <c r="AF23" s="19" t="n">
        <v>0.3</v>
      </c>
      <c r="AG23" s="19" t="n">
        <v>0.5</v>
      </c>
      <c r="AH23" s="20">
        <f>F23*I23*L23</f>
        <v/>
      </c>
      <c r="AI23" s="20">
        <f>G23*J23*M23</f>
        <v/>
      </c>
      <c r="AJ23" s="20">
        <f>H23*K23*N23</f>
        <v/>
      </c>
      <c r="AK23" s="20">
        <f>AH23+AI23+AJ23</f>
        <v/>
      </c>
      <c r="AL23" s="21">
        <f>P23-O23</f>
        <v/>
      </c>
      <c r="AM23" s="21">
        <f>R23-Q23</f>
        <v/>
      </c>
      <c r="AN23" s="21">
        <f>F23*AL23</f>
        <v/>
      </c>
      <c r="AO23" s="21">
        <f>G23*AM23</f>
        <v/>
      </c>
      <c r="AP23" s="21">
        <f>H23*AM23</f>
        <v/>
      </c>
      <c r="AQ23" s="21" t="n">
        <v>900000</v>
      </c>
      <c r="AR23" s="21" t="n">
        <v>900000</v>
      </c>
      <c r="AS23" s="21" t="n">
        <v>900000</v>
      </c>
      <c r="AT23" s="21" t="n">
        <v>642096</v>
      </c>
      <c r="AU23" s="21" t="n">
        <v>321048</v>
      </c>
      <c r="AV23" s="21">
        <f>AT23*(1-Parameters!$B$5)</f>
        <v/>
      </c>
      <c r="AW23" s="21" t="n">
        <v>24570.5</v>
      </c>
      <c r="AX23" s="21" t="n">
        <v>12285.25</v>
      </c>
      <c r="AY23" s="21">
        <f>AW23*(1-Parameters!$B$5)</f>
        <v/>
      </c>
      <c r="AZ23" s="21" t="n">
        <v>856128</v>
      </c>
      <c r="BA23" s="21" t="n">
        <v>428064</v>
      </c>
      <c r="BB23" s="21" t="n">
        <v>32760.66</v>
      </c>
      <c r="BC23" s="21" t="n">
        <v>16380.33</v>
      </c>
      <c r="BD23" s="21" t="n">
        <v>1070160</v>
      </c>
      <c r="BE23" s="21" t="n">
        <v>535080</v>
      </c>
      <c r="BF23" s="21" t="n">
        <v>40950.82</v>
      </c>
      <c r="BG23" s="21" t="n">
        <v>20475.41</v>
      </c>
      <c r="BH23" s="21" t="n">
        <v>0</v>
      </c>
      <c r="BI23" s="21" t="n">
        <v>0</v>
      </c>
      <c r="BJ23" s="21" t="n">
        <v>0</v>
      </c>
      <c r="BK23" s="21">
        <f>IF(LOWER(W23)="yes",X23,0)</f>
        <v/>
      </c>
      <c r="BL23" s="21">
        <f>IF(LOWER(W23)="yes",Z23,0)</f>
        <v/>
      </c>
      <c r="BM23" s="21">
        <f>IF(LOWER(W23)="yes",AB23,0)</f>
        <v/>
      </c>
      <c r="BN23" s="21">
        <f>AQ23+AU23+AX23+BH23+AD23</f>
        <v/>
      </c>
      <c r="BO23" s="21">
        <f>AR23+BA23+BC23+BI23</f>
        <v/>
      </c>
      <c r="BP23" s="21">
        <f>AS23+BE23+BG23+BJ23</f>
        <v/>
      </c>
      <c r="BQ23" s="21">
        <f>BN23+BO23+BP23</f>
        <v/>
      </c>
      <c r="BR23" s="21">
        <f>F23*(AF23+AG23)</f>
        <v/>
      </c>
      <c r="BS23" s="21">
        <f>G23*AG23</f>
        <v/>
      </c>
      <c r="BT23" s="21">
        <f>H23*AG23</f>
        <v/>
      </c>
      <c r="BU23" s="21">
        <f>BR23+BS23+BT23</f>
        <v/>
      </c>
      <c r="BV23" s="21">
        <f>BN23-BR23</f>
        <v/>
      </c>
      <c r="BW23" s="21">
        <f>BO23-BS23</f>
        <v/>
      </c>
      <c r="BX23" s="21">
        <f>BP23-BT23</f>
        <v/>
      </c>
      <c r="BY23" s="21">
        <f>BV23+BW23+BX23</f>
        <v/>
      </c>
      <c r="BZ23" s="22">
        <f>BN23*E23</f>
        <v/>
      </c>
      <c r="CA23" s="22">
        <f>BQ23*E23</f>
        <v/>
      </c>
      <c r="CB23" s="22">
        <f>BV23*E23</f>
        <v/>
      </c>
      <c r="CC23" s="22">
        <f>BY23*E23</f>
        <v/>
      </c>
      <c r="CD23" s="21">
        <f>AN23+AV23+AY23+AE23</f>
        <v/>
      </c>
      <c r="CE23" s="21">
        <f>AO23+AZ23*(1-Parameters!$B$5)+BB23*(1-Parameters!$B$5)</f>
        <v/>
      </c>
      <c r="CF23" s="21">
        <f>AP23+BD23*(1-Parameters!$B$5)+BF23*(1-Parameters!$B$5)</f>
        <v/>
      </c>
      <c r="CG23" s="21">
        <f>CD23+CE23+CF23</f>
        <v/>
      </c>
      <c r="CH23" s="21">
        <f>BK23</f>
        <v/>
      </c>
      <c r="CI23" s="21">
        <f>BL23</f>
        <v/>
      </c>
      <c r="CJ23" s="21">
        <f>BM23</f>
        <v/>
      </c>
      <c r="CK23" s="21">
        <f>CH23+CI23+CJ23</f>
        <v/>
      </c>
      <c r="CL23" s="21">
        <f>CD23-CH23</f>
        <v/>
      </c>
      <c r="CM23" s="21">
        <f>CE23-CI23</f>
        <v/>
      </c>
      <c r="CN23" s="21">
        <f>CF23-CJ23</f>
        <v/>
      </c>
      <c r="CO23" s="21">
        <f>CL23+CM23+CN23</f>
        <v/>
      </c>
      <c r="CP23" s="23">
        <f>IF(F23=0,0,CL23/F23)</f>
        <v/>
      </c>
      <c r="CQ23" s="23">
        <f>IF((F23+G23+H23)=0,0,CO23/(F23+G23+H23))</f>
        <v/>
      </c>
      <c r="CR23" s="22">
        <f>CL23*E23</f>
        <v/>
      </c>
      <c r="CS23" s="22">
        <f>CO23*E23</f>
        <v/>
      </c>
      <c r="CT23" s="21">
        <f>AT23+AW23</f>
        <v/>
      </c>
      <c r="CU23" s="21">
        <f>AQ23+BH23+AD23</f>
        <v/>
      </c>
      <c r="CV23" s="21">
        <f>AQ23</f>
        <v/>
      </c>
      <c r="CW23" s="22">
        <f>CV23*E23</f>
        <v/>
      </c>
    </row>
    <row r="24">
      <c r="A24" s="14" t="inlineStr">
        <is>
          <t>volleyball-world</t>
        </is>
      </c>
      <c r="B24" s="14" t="inlineStr">
        <is>
          <t>Volleyball World (FIVB)</t>
        </is>
      </c>
      <c r="C24" s="14" t="inlineStr">
        <is>
          <t>likely</t>
        </is>
      </c>
      <c r="D24" s="14" t="inlineStr">
        <is>
          <t>AUD</t>
        </is>
      </c>
      <c r="E24" s="15" t="n">
        <v>1</v>
      </c>
      <c r="F24" s="16" t="n">
        <v>100000</v>
      </c>
      <c r="G24" s="16" t="n">
        <v>200000</v>
      </c>
      <c r="H24" s="16" t="n">
        <v>300000</v>
      </c>
      <c r="I24" s="17" t="n">
        <v>0.03</v>
      </c>
      <c r="J24" s="17" t="n">
        <v>0.036</v>
      </c>
      <c r="K24" s="17" t="n">
        <v>0.048</v>
      </c>
      <c r="L24" s="18" t="n">
        <v>1</v>
      </c>
      <c r="M24" s="18" t="n">
        <v>1</v>
      </c>
      <c r="N24" s="18" t="n">
        <v>1</v>
      </c>
      <c r="O24" s="19" t="n">
        <v>2.5</v>
      </c>
      <c r="P24" s="19" t="n">
        <v>4</v>
      </c>
      <c r="Q24" s="19" t="n">
        <v>2.5</v>
      </c>
      <c r="R24" s="19" t="n">
        <v>4</v>
      </c>
      <c r="S24" s="19" t="n">
        <v>490</v>
      </c>
      <c r="T24" s="17" t="n">
        <v>0.08</v>
      </c>
      <c r="U24" s="17" t="n">
        <v>0.3</v>
      </c>
      <c r="V24" s="19" t="n">
        <v>4.999955555555555</v>
      </c>
      <c r="W24" s="14" t="inlineStr">
        <is>
          <t>no</t>
        </is>
      </c>
      <c r="X24" s="19" t="n">
        <v>0</v>
      </c>
      <c r="Y24" s="19" t="n">
        <v>0</v>
      </c>
      <c r="Z24" s="19" t="n">
        <v>0</v>
      </c>
      <c r="AA24" s="19" t="n">
        <v>0</v>
      </c>
      <c r="AB24" s="19" t="n">
        <v>0</v>
      </c>
      <c r="AC24" s="19" t="n">
        <v>0</v>
      </c>
      <c r="AD24" s="19" t="n">
        <v>0</v>
      </c>
      <c r="AE24" s="19" t="n">
        <v>0</v>
      </c>
      <c r="AF24" s="19" t="n">
        <v>0.3</v>
      </c>
      <c r="AG24" s="19" t="n">
        <v>0.5</v>
      </c>
      <c r="AH24" s="20">
        <f>F24*I24*L24</f>
        <v/>
      </c>
      <c r="AI24" s="20">
        <f>G24*J24*M24</f>
        <v/>
      </c>
      <c r="AJ24" s="20">
        <f>H24*K24*N24</f>
        <v/>
      </c>
      <c r="AK24" s="20">
        <f>AH24+AI24+AJ24</f>
        <v/>
      </c>
      <c r="AL24" s="21">
        <f>P24-O24</f>
        <v/>
      </c>
      <c r="AM24" s="21">
        <f>R24-Q24</f>
        <v/>
      </c>
      <c r="AN24" s="21">
        <f>F24*AL24</f>
        <v/>
      </c>
      <c r="AO24" s="21">
        <f>G24*AM24</f>
        <v/>
      </c>
      <c r="AP24" s="21">
        <f>H24*AM24</f>
        <v/>
      </c>
      <c r="AQ24" s="21" t="n">
        <v>250000</v>
      </c>
      <c r="AR24" s="21" t="n">
        <v>500000</v>
      </c>
      <c r="AS24" s="21" t="n">
        <v>750000</v>
      </c>
      <c r="AT24" s="21" t="n">
        <v>117600</v>
      </c>
      <c r="AU24" s="21" t="n">
        <v>58800</v>
      </c>
      <c r="AV24" s="21">
        <f>AT24*(1-Parameters!$B$5)</f>
        <v/>
      </c>
      <c r="AW24" s="21" t="n">
        <v>4499.96</v>
      </c>
      <c r="AX24" s="21" t="n">
        <v>2249.98</v>
      </c>
      <c r="AY24" s="21">
        <f>AW24*(1-Parameters!$B$5)</f>
        <v/>
      </c>
      <c r="AZ24" s="21" t="n">
        <v>282240</v>
      </c>
      <c r="BA24" s="21" t="n">
        <v>141120</v>
      </c>
      <c r="BB24" s="21" t="n">
        <v>10799.92</v>
      </c>
      <c r="BC24" s="21" t="n">
        <v>5399.96</v>
      </c>
      <c r="BD24" s="21" t="n">
        <v>564480</v>
      </c>
      <c r="BE24" s="21" t="n">
        <v>282240</v>
      </c>
      <c r="BF24" s="21" t="n">
        <v>21599.82</v>
      </c>
      <c r="BG24" s="21" t="n">
        <v>10799.91</v>
      </c>
      <c r="BH24" s="21" t="n">
        <v>0</v>
      </c>
      <c r="BI24" s="21" t="n">
        <v>0</v>
      </c>
      <c r="BJ24" s="21" t="n">
        <v>0</v>
      </c>
      <c r="BK24" s="21">
        <f>IF(LOWER(W24)="yes",X24,0)</f>
        <v/>
      </c>
      <c r="BL24" s="21">
        <f>IF(LOWER(W24)="yes",Z24,0)</f>
        <v/>
      </c>
      <c r="BM24" s="21">
        <f>IF(LOWER(W24)="yes",AB24,0)</f>
        <v/>
      </c>
      <c r="BN24" s="21">
        <f>AQ24+AU24+AX24+BH24+AD24</f>
        <v/>
      </c>
      <c r="BO24" s="21">
        <f>AR24+BA24+BC24+BI24</f>
        <v/>
      </c>
      <c r="BP24" s="21">
        <f>AS24+BE24+BG24+BJ24</f>
        <v/>
      </c>
      <c r="BQ24" s="21">
        <f>BN24+BO24+BP24</f>
        <v/>
      </c>
      <c r="BR24" s="21">
        <f>F24*(AF24+AG24)</f>
        <v/>
      </c>
      <c r="BS24" s="21">
        <f>G24*AG24</f>
        <v/>
      </c>
      <c r="BT24" s="21">
        <f>H24*AG24</f>
        <v/>
      </c>
      <c r="BU24" s="21">
        <f>BR24+BS24+BT24</f>
        <v/>
      </c>
      <c r="BV24" s="21">
        <f>BN24-BR24</f>
        <v/>
      </c>
      <c r="BW24" s="21">
        <f>BO24-BS24</f>
        <v/>
      </c>
      <c r="BX24" s="21">
        <f>BP24-BT24</f>
        <v/>
      </c>
      <c r="BY24" s="21">
        <f>BV24+BW24+BX24</f>
        <v/>
      </c>
      <c r="BZ24" s="22">
        <f>BN24*E24</f>
        <v/>
      </c>
      <c r="CA24" s="22">
        <f>BQ24*E24</f>
        <v/>
      </c>
      <c r="CB24" s="22">
        <f>BV24*E24</f>
        <v/>
      </c>
      <c r="CC24" s="22">
        <f>BY24*E24</f>
        <v/>
      </c>
      <c r="CD24" s="21">
        <f>AN24+AV24+AY24+AE24</f>
        <v/>
      </c>
      <c r="CE24" s="21">
        <f>AO24+AZ24*(1-Parameters!$B$5)+BB24*(1-Parameters!$B$5)</f>
        <v/>
      </c>
      <c r="CF24" s="21">
        <f>AP24+BD24*(1-Parameters!$B$5)+BF24*(1-Parameters!$B$5)</f>
        <v/>
      </c>
      <c r="CG24" s="21">
        <f>CD24+CE24+CF24</f>
        <v/>
      </c>
      <c r="CH24" s="21">
        <f>BK24</f>
        <v/>
      </c>
      <c r="CI24" s="21">
        <f>BL24</f>
        <v/>
      </c>
      <c r="CJ24" s="21">
        <f>BM24</f>
        <v/>
      </c>
      <c r="CK24" s="21">
        <f>CH24+CI24+CJ24</f>
        <v/>
      </c>
      <c r="CL24" s="21">
        <f>CD24-CH24</f>
        <v/>
      </c>
      <c r="CM24" s="21">
        <f>CE24-CI24</f>
        <v/>
      </c>
      <c r="CN24" s="21">
        <f>CF24-CJ24</f>
        <v/>
      </c>
      <c r="CO24" s="21">
        <f>CL24+CM24+CN24</f>
        <v/>
      </c>
      <c r="CP24" s="23">
        <f>IF(F24=0,0,CL24/F24)</f>
        <v/>
      </c>
      <c r="CQ24" s="23">
        <f>IF((F24+G24+H24)=0,0,CO24/(F24+G24+H24))</f>
        <v/>
      </c>
      <c r="CR24" s="22">
        <f>CL24*E24</f>
        <v/>
      </c>
      <c r="CS24" s="22">
        <f>CO24*E24</f>
        <v/>
      </c>
      <c r="CT24" s="21">
        <f>AT24+AW24</f>
        <v/>
      </c>
      <c r="CU24" s="21">
        <f>AQ24+BH24+AD24</f>
        <v/>
      </c>
      <c r="CV24" s="21">
        <f>AQ24</f>
        <v/>
      </c>
      <c r="CW24" s="22">
        <f>CV24*E24</f>
        <v/>
      </c>
    </row>
    <row r="25">
      <c r="A25" s="14" t="inlineStr">
        <is>
          <t>auscycling</t>
        </is>
      </c>
      <c r="B25" s="14" t="inlineStr">
        <is>
          <t>AusCycling Limited</t>
        </is>
      </c>
      <c r="C25" s="14" t="inlineStr">
        <is>
          <t>fees-on-2027</t>
        </is>
      </c>
      <c r="D25" s="14" t="inlineStr">
        <is>
          <t>AUD</t>
        </is>
      </c>
      <c r="E25" s="15" t="n">
        <v>1</v>
      </c>
      <c r="F25" s="16" t="n">
        <v>55000</v>
      </c>
      <c r="G25" s="16" t="n">
        <v>75000</v>
      </c>
      <c r="H25" s="16" t="n">
        <v>90000</v>
      </c>
      <c r="I25" s="17" t="n">
        <v>0</v>
      </c>
      <c r="J25" s="17" t="n">
        <v>0.04</v>
      </c>
      <c r="K25" s="17" t="n">
        <v>0.05</v>
      </c>
      <c r="L25" s="18" t="n">
        <v>1.4</v>
      </c>
      <c r="M25" s="18" t="n">
        <v>1.4</v>
      </c>
      <c r="N25" s="18" t="n">
        <v>1.4</v>
      </c>
      <c r="O25" s="19" t="n">
        <v>0</v>
      </c>
      <c r="P25" s="19" t="n">
        <v>0</v>
      </c>
      <c r="Q25" s="19" t="n">
        <v>1.04</v>
      </c>
      <c r="R25" s="19" t="n">
        <v>2.04</v>
      </c>
      <c r="S25" s="19" t="n">
        <v>583</v>
      </c>
      <c r="T25" s="17" t="n">
        <v>0.08</v>
      </c>
      <c r="U25" s="17" t="n">
        <v>0.3</v>
      </c>
      <c r="V25" s="19" t="n">
        <v>2.88</v>
      </c>
      <c r="W25" s="14" t="inlineStr">
        <is>
          <t>no</t>
        </is>
      </c>
      <c r="X25" s="19" t="n">
        <v>0</v>
      </c>
      <c r="Y25" s="19" t="n">
        <v>0</v>
      </c>
      <c r="Z25" s="19" t="n">
        <v>0</v>
      </c>
      <c r="AA25" s="19" t="n">
        <v>0</v>
      </c>
      <c r="AB25" s="19" t="n">
        <v>0</v>
      </c>
      <c r="AC25" s="19" t="n">
        <v>0</v>
      </c>
      <c r="AD25" s="19" t="n">
        <v>0</v>
      </c>
      <c r="AE25" s="19" t="n">
        <v>0</v>
      </c>
      <c r="AF25" s="19" t="n">
        <v>0.3</v>
      </c>
      <c r="AG25" s="19" t="n">
        <v>0.5</v>
      </c>
      <c r="AH25" s="20">
        <f>F25*I25*L25</f>
        <v/>
      </c>
      <c r="AI25" s="20">
        <f>G25*J25*M25</f>
        <v/>
      </c>
      <c r="AJ25" s="20">
        <f>H25*K25*N25</f>
        <v/>
      </c>
      <c r="AK25" s="20">
        <f>AH25+AI25+AJ25</f>
        <v/>
      </c>
      <c r="AL25" s="21">
        <f>P25-O25</f>
        <v/>
      </c>
      <c r="AM25" s="21">
        <f>R25-Q25</f>
        <v/>
      </c>
      <c r="AN25" s="21">
        <f>F25*AL25</f>
        <v/>
      </c>
      <c r="AO25" s="21">
        <f>G25*AM25</f>
        <v/>
      </c>
      <c r="AP25" s="21">
        <f>H25*AM25</f>
        <v/>
      </c>
      <c r="AQ25" s="21">
        <f>F25*O25</f>
        <v/>
      </c>
      <c r="AR25" s="21">
        <f>G25*Q25</f>
        <v/>
      </c>
      <c r="AS25" s="21">
        <f>H25*Q25</f>
        <v/>
      </c>
      <c r="AT25" s="21">
        <f>AH25*S25*T25</f>
        <v/>
      </c>
      <c r="AU25" s="21">
        <f>AT25*Parameters!$B$5</f>
        <v/>
      </c>
      <c r="AV25" s="21">
        <f>AT25*(1-Parameters!$B$5)</f>
        <v/>
      </c>
      <c r="AW25" s="21">
        <f>AH25*U25*V25</f>
        <v/>
      </c>
      <c r="AX25" s="21">
        <f>AW25*Parameters!$B$5</f>
        <v/>
      </c>
      <c r="AY25" s="21">
        <f>AW25*(1-Parameters!$B$5)</f>
        <v/>
      </c>
      <c r="AZ25" s="21">
        <f>AI25*S25*T25</f>
        <v/>
      </c>
      <c r="BA25" s="21">
        <f>AZ25*Parameters!$B$5</f>
        <v/>
      </c>
      <c r="BB25" s="21">
        <f>AI25*U25*V25</f>
        <v/>
      </c>
      <c r="BC25" s="21">
        <f>BB25*Parameters!$B$5</f>
        <v/>
      </c>
      <c r="BD25" s="21">
        <f>AJ25*S25*T25</f>
        <v/>
      </c>
      <c r="BE25" s="21">
        <f>BD25*Parameters!$B$5</f>
        <v/>
      </c>
      <c r="BF25" s="21">
        <f>AJ25*U25*V25</f>
        <v/>
      </c>
      <c r="BG25" s="21">
        <f>BF25*Parameters!$B$5</f>
        <v/>
      </c>
      <c r="BH25" s="21">
        <f>IF(LOWER(W25)="yes",X25-Y25,0)</f>
        <v/>
      </c>
      <c r="BI25" s="21">
        <f>IF(LOWER(W25)="yes",Z25-AA25,0)</f>
        <v/>
      </c>
      <c r="BJ25" s="21">
        <f>IF(LOWER(W25)="yes",AB25-AC25,0)</f>
        <v/>
      </c>
      <c r="BK25" s="21">
        <f>IF(LOWER(W25)="yes",X25,0)</f>
        <v/>
      </c>
      <c r="BL25" s="21">
        <f>IF(LOWER(W25)="yes",Z25,0)</f>
        <v/>
      </c>
      <c r="BM25" s="21">
        <f>IF(LOWER(W25)="yes",AB25,0)</f>
        <v/>
      </c>
      <c r="BN25" s="21">
        <f>AQ25+AU25+AX25+BH25+AD25</f>
        <v/>
      </c>
      <c r="BO25" s="21">
        <f>AR25+BA25+BC25+BI25</f>
        <v/>
      </c>
      <c r="BP25" s="21">
        <f>AS25+BE25+BG25+BJ25</f>
        <v/>
      </c>
      <c r="BQ25" s="21">
        <f>BN25+BO25+BP25</f>
        <v/>
      </c>
      <c r="BR25" s="21">
        <f>F25*(AF25+AG25)</f>
        <v/>
      </c>
      <c r="BS25" s="21">
        <f>G25*AG25</f>
        <v/>
      </c>
      <c r="BT25" s="21">
        <f>H25*AG25</f>
        <v/>
      </c>
      <c r="BU25" s="21">
        <f>BR25+BS25+BT25</f>
        <v/>
      </c>
      <c r="BV25" s="21">
        <f>BN25-BR25</f>
        <v/>
      </c>
      <c r="BW25" s="21">
        <f>BO25-BS25</f>
        <v/>
      </c>
      <c r="BX25" s="21">
        <f>BP25-BT25</f>
        <v/>
      </c>
      <c r="BY25" s="21">
        <f>BV25+BW25+BX25</f>
        <v/>
      </c>
      <c r="BZ25" s="22">
        <f>BN25*E25</f>
        <v/>
      </c>
      <c r="CA25" s="22">
        <f>BQ25*E25</f>
        <v/>
      </c>
      <c r="CB25" s="22">
        <f>BV25*E25</f>
        <v/>
      </c>
      <c r="CC25" s="22">
        <f>BY25*E25</f>
        <v/>
      </c>
      <c r="CD25" s="21">
        <f>AN25+AV25+AY25+AE25</f>
        <v/>
      </c>
      <c r="CE25" s="21">
        <f>AO25+AZ25*(1-Parameters!$B$5)+BB25*(1-Parameters!$B$5)</f>
        <v/>
      </c>
      <c r="CF25" s="21">
        <f>AP25+BD25*(1-Parameters!$B$5)+BF25*(1-Parameters!$B$5)</f>
        <v/>
      </c>
      <c r="CG25" s="21">
        <f>CD25+CE25+CF25</f>
        <v/>
      </c>
      <c r="CH25" s="21">
        <f>BK25</f>
        <v/>
      </c>
      <c r="CI25" s="21">
        <f>BL25</f>
        <v/>
      </c>
      <c r="CJ25" s="21">
        <f>BM25</f>
        <v/>
      </c>
      <c r="CK25" s="21">
        <f>CH25+CI25+CJ25</f>
        <v/>
      </c>
      <c r="CL25" s="21">
        <f>CD25-CH25</f>
        <v/>
      </c>
      <c r="CM25" s="21">
        <f>CE25-CI25</f>
        <v/>
      </c>
      <c r="CN25" s="21">
        <f>CF25-CJ25</f>
        <v/>
      </c>
      <c r="CO25" s="21">
        <f>CL25+CM25+CN25</f>
        <v/>
      </c>
      <c r="CP25" s="23">
        <f>IF(F25=0,0,CL25/F25)</f>
        <v/>
      </c>
      <c r="CQ25" s="23">
        <f>IF((F25+G25+H25)=0,0,CO25/(F25+G25+H25))</f>
        <v/>
      </c>
      <c r="CR25" s="22">
        <f>CL25*E25</f>
        <v/>
      </c>
      <c r="CS25" s="22">
        <f>CO25*E25</f>
        <v/>
      </c>
      <c r="CT25" s="21">
        <f>AT25+AW25</f>
        <v/>
      </c>
      <c r="CU25" s="21">
        <f>AQ25+BH25+AD25</f>
        <v/>
      </c>
      <c r="CV25" s="21">
        <f>AQ25</f>
        <v/>
      </c>
      <c r="CW25" s="22">
        <f>CV25*E25</f>
        <v/>
      </c>
    </row>
  </sheetData>
  <mergeCells count="18">
    <mergeCell ref="AT2:AY2"/>
    <mergeCell ref="BZ2:CC2"/>
    <mergeCell ref="A2:E2"/>
    <mergeCell ref="I2:N2"/>
    <mergeCell ref="CD2:CQ2"/>
    <mergeCell ref="CT2:CW2"/>
    <mergeCell ref="BH2:BM2"/>
    <mergeCell ref="S2:V2"/>
    <mergeCell ref="AH2:AK2"/>
    <mergeCell ref="BN2:BY2"/>
    <mergeCell ref="CR2:CS2"/>
    <mergeCell ref="F2:H2"/>
    <mergeCell ref="O2:R2"/>
    <mergeCell ref="W2:AC2"/>
    <mergeCell ref="AL2:AS2"/>
    <mergeCell ref="AD2:AG2"/>
    <mergeCell ref="AZ2:BC2"/>
    <mergeCell ref="BD2:BG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O9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9" customWidth="1" min="1" max="1"/>
    <col width="14" customWidth="1" min="2" max="2"/>
    <col width="15" customWidth="1" min="3" max="3"/>
    <col width="15" customWidth="1" min="4" max="4"/>
    <col width="17" customWidth="1" min="5" max="5"/>
    <col width="14" customWidth="1" min="6" max="6"/>
    <col width="22" customWidth="1" min="7" max="7"/>
    <col width="19" customWidth="1" min="8" max="8"/>
    <col width="14" customWidth="1" min="9" max="9"/>
    <col width="28" customWidth="1" min="10" max="10"/>
    <col width="22" customWidth="1" min="11" max="11"/>
    <col width="21" customWidth="1" min="12" max="12"/>
    <col width="24" customWidth="1" min="13" max="13"/>
    <col width="23" customWidth="1" min="14" max="14"/>
    <col width="15" customWidth="1" min="15" max="15"/>
    <col width="26" customWidth="1" min="16" max="16"/>
    <col width="23" customWidth="1" min="17" max="17"/>
    <col width="23" customWidth="1" min="18" max="18"/>
    <col width="19" customWidth="1" min="19" max="19"/>
    <col width="25" customWidth="1" min="20" max="20"/>
    <col width="28" customWidth="1" min="21" max="21"/>
    <col width="28" customWidth="1" min="22" max="22"/>
    <col width="28" customWidth="1" min="23" max="23"/>
    <col width="28" customWidth="1" min="24" max="24"/>
    <col width="28" customWidth="1" min="25" max="25"/>
    <col width="28" customWidth="1" min="26" max="26"/>
    <col width="28" customWidth="1" min="27" max="27"/>
    <col width="25" customWidth="1" min="28" max="28"/>
    <col width="25" customWidth="1" min="29" max="29"/>
    <col width="27" customWidth="1" min="30" max="30"/>
    <col width="27" customWidth="1" min="31" max="31"/>
    <col width="28" customWidth="1" min="32" max="32"/>
    <col width="28" customWidth="1" min="33" max="33"/>
    <col width="21" customWidth="1" min="34" max="34"/>
    <col width="23" customWidth="1" min="35" max="35"/>
    <col width="22" customWidth="1" min="36" max="36"/>
    <col width="22" customWidth="1" min="37" max="37"/>
    <col width="22" customWidth="1" min="38" max="38"/>
    <col width="22" customWidth="1" min="39" max="39"/>
    <col width="28" customWidth="1" min="40" max="40"/>
    <col width="27" customWidth="1" min="41" max="41"/>
  </cols>
  <sheetData>
    <row r="1">
      <c r="A1" s="1" t="inlineStr">
        <is>
          <t>Deals — one row per HubSpot deal</t>
        </is>
      </c>
    </row>
    <row r="2">
      <c r="A2" s="5" t="inlineStr">
        <is>
          <t>HubSpot fields</t>
        </is>
      </c>
      <c r="I2" s="5" t="inlineStr">
        <is>
          <t>Forecast inputs</t>
        </is>
      </c>
      <c r="Q2" s="5" t="inlineStr">
        <is>
          <t>Pulled from Calculator</t>
        </is>
      </c>
      <c r="AF2" s="5" t="inlineStr">
        <is>
          <t>HubSpot deal amount (Y1 platform fee)</t>
        </is>
      </c>
      <c r="AH2" s="5" t="inlineStr">
        <is>
          <t>Probability and weighted</t>
        </is>
      </c>
      <c r="AN2" s="5" t="inlineStr">
        <is>
          <t>Reconciliation with HubSpot</t>
        </is>
      </c>
    </row>
    <row r="3">
      <c r="A3" s="13" t="inlineStr">
        <is>
          <t>hubspot_deal_id</t>
        </is>
      </c>
      <c r="B3" s="13" t="inlineStr">
        <is>
          <t>deal_name</t>
        </is>
      </c>
      <c r="C3" s="13" t="inlineStr">
        <is>
          <t>client_slug</t>
        </is>
      </c>
      <c r="D3" s="13" t="inlineStr">
        <is>
          <t>client_name</t>
        </is>
      </c>
      <c r="E3" s="13" t="inlineStr">
        <is>
          <t>hubspot_stage</t>
        </is>
      </c>
      <c r="F3" s="13" t="inlineStr">
        <is>
          <t>deal_owner</t>
        </is>
      </c>
      <c r="G3" s="13" t="inlineStr">
        <is>
          <t>hubspot_amount_usd</t>
        </is>
      </c>
      <c r="H3" s="13" t="inlineStr">
        <is>
          <t>amount_currency</t>
        </is>
      </c>
      <c r="I3" s="13" t="inlineStr">
        <is>
          <t>scenario</t>
        </is>
      </c>
      <c r="J3" s="13" t="inlineStr">
        <is>
          <t>probability_override_pct</t>
        </is>
      </c>
      <c r="K3" s="13" t="inlineStr">
        <is>
          <t>target_close_month</t>
        </is>
      </c>
      <c r="L3" s="13" t="inlineStr">
        <is>
          <t>target_close_year</t>
        </is>
      </c>
      <c r="M3" s="13" t="inlineStr">
        <is>
          <t>contract_start_month</t>
        </is>
      </c>
      <c r="N3" s="13" t="inlineStr">
        <is>
          <t>contract_start_year</t>
        </is>
      </c>
      <c r="O3" s="13" t="inlineStr">
        <is>
          <t>term_months</t>
        </is>
      </c>
      <c r="P3" s="13" t="inlineStr">
        <is>
          <t>payment_terms_platform</t>
        </is>
      </c>
      <c r="Q3" s="13" t="inlineStr">
        <is>
          <t>calc_ta_revenue_yr1</t>
        </is>
      </c>
      <c r="R3" s="13" t="inlineStr">
        <is>
          <t>calc_ta_revenue_3yr</t>
        </is>
      </c>
      <c r="S3" s="13" t="inlineStr">
        <is>
          <t>calc_ta_net_3yr</t>
        </is>
      </c>
      <c r="T3" s="13" t="inlineStr">
        <is>
          <t>calc_platform_fee_yr1</t>
        </is>
      </c>
      <c r="U3" s="13" t="inlineStr">
        <is>
          <t>calc_exclusivity_net_yr1</t>
        </is>
      </c>
      <c r="V3" s="13" t="inlineStr">
        <is>
          <t>calc_exclusivity_net_yr2</t>
        </is>
      </c>
      <c r="W3" s="13" t="inlineStr">
        <is>
          <t>calc_exclusivity_net_yr3</t>
        </is>
      </c>
      <c r="X3" s="13" t="inlineStr">
        <is>
          <t>calc_exclusivity_gross_yr1</t>
        </is>
      </c>
      <c r="Y3" s="13" t="inlineStr">
        <is>
          <t>calc_exclusivity_rebate_yr1</t>
        </is>
      </c>
      <c r="Z3" s="13" t="inlineStr">
        <is>
          <t>calc_commissions_total_yr1</t>
        </is>
      </c>
      <c r="AA3" s="13" t="inlineStr">
        <is>
          <t>calc_additional_fees_ta_yr1</t>
        </is>
      </c>
      <c r="AB3" s="13" t="inlineStr">
        <is>
          <t>calc_platform_fee_yr2</t>
        </is>
      </c>
      <c r="AC3" s="13" t="inlineStr">
        <is>
          <t>calc_platform_fee_yr3</t>
        </is>
      </c>
      <c r="AD3" s="13" t="inlineStr">
        <is>
          <t>calc_commissions_ta_yr2</t>
        </is>
      </c>
      <c r="AE3" s="13" t="inlineStr">
        <is>
          <t>calc_commissions_ta_yr3</t>
        </is>
      </c>
      <c r="AF3" s="13" t="inlineStr">
        <is>
          <t>hubspot_deal_amount_yr1_gbp</t>
        </is>
      </c>
      <c r="AG3" s="13" t="inlineStr">
        <is>
          <t>hubspot_deal_amount_yr1_aud</t>
        </is>
      </c>
      <c r="AH3" s="13" t="inlineStr">
        <is>
          <t>stage_probability</t>
        </is>
      </c>
      <c r="AI3" s="13" t="inlineStr">
        <is>
          <t>applied_probability</t>
        </is>
      </c>
      <c r="AJ3" s="13" t="inlineStr">
        <is>
          <t>contract_value_gbp</t>
        </is>
      </c>
      <c r="AK3" s="13" t="inlineStr">
        <is>
          <t>contract_value_aud</t>
        </is>
      </c>
      <c r="AL3" s="13" t="inlineStr">
        <is>
          <t>weighted_value_gbp</t>
        </is>
      </c>
      <c r="AM3" s="13" t="inlineStr">
        <is>
          <t>weighted_value_aud</t>
        </is>
      </c>
      <c r="AN3" s="13" t="inlineStr">
        <is>
          <t>hubspot_amount_gbp_implied</t>
        </is>
      </c>
      <c r="AO3" s="13" t="inlineStr">
        <is>
          <t>variance_vs_hubspot_pct</t>
        </is>
      </c>
    </row>
    <row r="4">
      <c r="A4" s="14" t="inlineStr">
        <is>
          <t>263791103460</t>
        </is>
      </c>
      <c r="B4" s="14" t="inlineStr">
        <is>
          <t>Rapha Cycling Club — Travel Activated</t>
        </is>
      </c>
      <c r="C4" s="14" t="inlineStr">
        <is>
          <t>rapha</t>
        </is>
      </c>
      <c r="D4" s="14" t="inlineStr">
        <is>
          <t>Rapha Racing Limited</t>
        </is>
      </c>
      <c r="E4" s="14" t="inlineStr">
        <is>
          <t>Proposal</t>
        </is>
      </c>
      <c r="F4" s="14" t="inlineStr">
        <is>
          <t>Marcel Berger</t>
        </is>
      </c>
      <c r="G4" s="24" t="n">
        <v>108000</v>
      </c>
      <c r="H4" s="14" t="inlineStr">
        <is>
          <t>USD</t>
        </is>
      </c>
      <c r="I4" s="14" t="inlineStr">
        <is>
          <t>likely</t>
        </is>
      </c>
      <c r="J4" s="17" t="n"/>
      <c r="K4" s="16" t="n">
        <v>7</v>
      </c>
      <c r="L4" s="16" t="n">
        <v>2026</v>
      </c>
      <c r="M4" s="16" t="n">
        <v>9</v>
      </c>
      <c r="N4" s="16" t="n">
        <v>2026</v>
      </c>
      <c r="O4" s="16" t="n">
        <v>36</v>
      </c>
      <c r="P4" s="14" t="inlineStr">
        <is>
          <t>Quarterly in advance</t>
        </is>
      </c>
      <c r="Q4" s="25">
        <f>IFERROR(SUMIFS(Calculator!$BN:$BN,Calculator!$A:$A,$C4,Calculator!$C:$C,$I4),0)</f>
        <v/>
      </c>
      <c r="R4" s="25">
        <f>IFERROR(SUMIFS(Calculator!$BQ:$BQ,Calculator!$A:$A,$C4,Calculator!$C:$C,$I4),0)</f>
        <v/>
      </c>
      <c r="S4" s="25">
        <f>IFERROR(SUMIFS(Calculator!$BY:$BY,Calculator!$A:$A,$C4,Calculator!$C:$C,$I4),0)</f>
        <v/>
      </c>
      <c r="T4" s="25">
        <f>IFERROR(SUMIFS(Calculator!$AQ:$AQ,Calculator!$A:$A,$C4,Calculator!$C:$C,$I4),0)</f>
        <v/>
      </c>
      <c r="U4" s="25">
        <f>IFERROR(SUMIFS(Calculator!$BH:$BH,Calculator!$A:$A,$C4,Calculator!$C:$C,$I4),0)</f>
        <v/>
      </c>
      <c r="V4" s="25">
        <f>IFERROR(SUMIFS(Calculator!$BI:$BI,Calculator!$A:$A,$C4,Calculator!$C:$C,$I4),0)</f>
        <v/>
      </c>
      <c r="W4" s="25">
        <f>IFERROR(SUMIFS(Calculator!$BJ:$BJ,Calculator!$A:$A,$C4,Calculator!$C:$C,$I4),0)</f>
        <v/>
      </c>
      <c r="X4" s="25">
        <f>IFERROR(SUMIFS(Calculator!$X:$X,Calculator!$A:$A,$C4,Calculator!$C:$C,$I4),0)</f>
        <v/>
      </c>
      <c r="Y4" s="25">
        <f>IFERROR(SUMIFS(Calculator!$Y:$Y,Calculator!$A:$A,$C4,Calculator!$C:$C,$I4),0)</f>
        <v/>
      </c>
      <c r="Z4" s="25">
        <f>IFERROR(SUMIFS(Calculator!$AU:$AU,Calculator!$A:$A,$C4,Calculator!$C:$C,$I4)+SUMIFS(Calculator!$AX:$AX,Calculator!$A:$A,$C4,Calculator!$C:$C,$I4),0)</f>
        <v/>
      </c>
      <c r="AA4" s="25">
        <f>IFERROR(SUMIFS(Calculator!$AD:$AD,Calculator!$A:$A,$C4,Calculator!$C:$C,$I4),0)</f>
        <v/>
      </c>
      <c r="AB4" s="25">
        <f>IFERROR(SUMIFS(Calculator!$AR:$AR,Calculator!$A:$A,$C4,Calculator!$C:$C,$I4),0)</f>
        <v/>
      </c>
      <c r="AC4" s="25">
        <f>IFERROR(SUMIFS(Calculator!$AS:$AS,Calculator!$A:$A,$C4,Calculator!$C:$C,$I4),0)</f>
        <v/>
      </c>
      <c r="AD4" s="25">
        <f>IFERROR(SUMIFS(Calculator!$BA:$BA,Calculator!$A:$A,$C4,Calculator!$C:$C,$I4)+SUMIFS(Calculator!$BC:$BC,Calculator!$A:$A,$C4,Calculator!$C:$C,$I4),0)</f>
        <v/>
      </c>
      <c r="AE4" s="25">
        <f>IFERROR(SUMIFS(Calculator!$BE:$BE,Calculator!$A:$A,$C4,Calculator!$C:$C,$I4)+SUMIFS(Calculator!$BG:$BG,Calculator!$A:$A,$C4,Calculator!$C:$C,$I4),0)</f>
        <v/>
      </c>
      <c r="AF4" s="25">
        <f>$T4</f>
        <v/>
      </c>
      <c r="AG4" s="26">
        <f>$AF4*IFERROR(SUMIFS(Calculator!$E:$E,Calculator!$A:$A,$C4,Calculator!$C:$C,$I4),1)</f>
        <v/>
      </c>
      <c r="AH4" s="27">
        <f>IFERROR(VLOOKUP($E4,Parameters!$A$18:$B$23,2,FALSE),0)</f>
        <v/>
      </c>
      <c r="AI4" s="27">
        <f>IF(ISBLANK($J4),$AH4,$J4)</f>
        <v/>
      </c>
      <c r="AJ4" s="25">
        <f>$R4</f>
        <v/>
      </c>
      <c r="AK4" s="26">
        <f>$AJ4*IFERROR(SUMIFS(Calculator!$E:$E,Calculator!$A:$A,$C4,Calculator!$C:$C,$I4),1)</f>
        <v/>
      </c>
      <c r="AL4" s="25">
        <f>$AJ4*$AI4</f>
        <v/>
      </c>
      <c r="AM4" s="26">
        <f>$AL4*IFERROR(SUMIFS(Calculator!$E:$E,Calculator!$A:$A,$C4,Calculator!$C:$C,$I4),1)</f>
        <v/>
      </c>
      <c r="AN4" s="25">
        <f>IFERROR($G4/(Parameters!$B$15),0)</f>
        <v/>
      </c>
      <c r="AO4" s="27">
        <f>IFERROR(($AF4-$AN4)/$AN4,0)</f>
        <v/>
      </c>
    </row>
    <row r="5">
      <c r="A5" s="14" t="inlineStr">
        <is>
          <t>&lt;add&gt;</t>
        </is>
      </c>
      <c r="B5" s="14" t="inlineStr">
        <is>
          <t>Sailing Australia — federation membership platform</t>
        </is>
      </c>
      <c r="C5" s="14" t="inlineStr">
        <is>
          <t>sailing-au</t>
        </is>
      </c>
      <c r="D5" s="14" t="inlineStr">
        <is>
          <t>Sailing Australia</t>
        </is>
      </c>
      <c r="E5" s="14" t="inlineStr">
        <is>
          <t>Proposal</t>
        </is>
      </c>
      <c r="F5" s="14" t="inlineStr">
        <is>
          <t>Marcel Berger</t>
        </is>
      </c>
      <c r="G5" s="24" t="n">
        <v>0</v>
      </c>
      <c r="H5" s="14" t="inlineStr">
        <is>
          <t>AUD</t>
        </is>
      </c>
      <c r="I5" s="14" t="inlineStr">
        <is>
          <t>likely</t>
        </is>
      </c>
      <c r="J5" s="17" t="n"/>
      <c r="K5" s="16" t="n">
        <v>9</v>
      </c>
      <c r="L5" s="16" t="n">
        <v>2026</v>
      </c>
      <c r="M5" s="16" t="n">
        <v>10</v>
      </c>
      <c r="N5" s="16" t="n">
        <v>2026</v>
      </c>
      <c r="O5" s="16" t="n">
        <v>36</v>
      </c>
      <c r="P5" s="14" t="inlineStr">
        <is>
          <t>Net 30 from invoice</t>
        </is>
      </c>
      <c r="Q5" s="25">
        <f>IFERROR(SUMIFS(Calculator!$BN:$BN,Calculator!$A:$A,$C5,Calculator!$C:$C,$I5),0)</f>
        <v/>
      </c>
      <c r="R5" s="25">
        <f>IFERROR(SUMIFS(Calculator!$BQ:$BQ,Calculator!$A:$A,$C5,Calculator!$C:$C,$I5),0)</f>
        <v/>
      </c>
      <c r="S5" s="25">
        <f>IFERROR(SUMIFS(Calculator!$BY:$BY,Calculator!$A:$A,$C5,Calculator!$C:$C,$I5),0)</f>
        <v/>
      </c>
      <c r="T5" s="25">
        <f>IFERROR(SUMIFS(Calculator!$AQ:$AQ,Calculator!$A:$A,$C5,Calculator!$C:$C,$I5),0)</f>
        <v/>
      </c>
      <c r="U5" s="25">
        <f>IFERROR(SUMIFS(Calculator!$BH:$BH,Calculator!$A:$A,$C5,Calculator!$C:$C,$I5),0)</f>
        <v/>
      </c>
      <c r="V5" s="25">
        <f>IFERROR(SUMIFS(Calculator!$BI:$BI,Calculator!$A:$A,$C5,Calculator!$C:$C,$I5),0)</f>
        <v/>
      </c>
      <c r="W5" s="25">
        <f>IFERROR(SUMIFS(Calculator!$BJ:$BJ,Calculator!$A:$A,$C5,Calculator!$C:$C,$I5),0)</f>
        <v/>
      </c>
      <c r="X5" s="25">
        <f>IFERROR(SUMIFS(Calculator!$X:$X,Calculator!$A:$A,$C5,Calculator!$C:$C,$I5),0)</f>
        <v/>
      </c>
      <c r="Y5" s="25">
        <f>IFERROR(SUMIFS(Calculator!$Y:$Y,Calculator!$A:$A,$C5,Calculator!$C:$C,$I5),0)</f>
        <v/>
      </c>
      <c r="Z5" s="25">
        <f>IFERROR(SUMIFS(Calculator!$AU:$AU,Calculator!$A:$A,$C5,Calculator!$C:$C,$I5)+SUMIFS(Calculator!$AX:$AX,Calculator!$A:$A,$C5,Calculator!$C:$C,$I5),0)</f>
        <v/>
      </c>
      <c r="AA5" s="25">
        <f>IFERROR(SUMIFS(Calculator!$AD:$AD,Calculator!$A:$A,$C5,Calculator!$C:$C,$I5),0)</f>
        <v/>
      </c>
      <c r="AB5" s="25">
        <f>IFERROR(SUMIFS(Calculator!$AR:$AR,Calculator!$A:$A,$C5,Calculator!$C:$C,$I5),0)</f>
        <v/>
      </c>
      <c r="AC5" s="25">
        <f>IFERROR(SUMIFS(Calculator!$AS:$AS,Calculator!$A:$A,$C5,Calculator!$C:$C,$I5),0)</f>
        <v/>
      </c>
      <c r="AD5" s="25">
        <f>IFERROR(SUMIFS(Calculator!$BA:$BA,Calculator!$A:$A,$C5,Calculator!$C:$C,$I5)+SUMIFS(Calculator!$BC:$BC,Calculator!$A:$A,$C5,Calculator!$C:$C,$I5),0)</f>
        <v/>
      </c>
      <c r="AE5" s="25">
        <f>IFERROR(SUMIFS(Calculator!$BE:$BE,Calculator!$A:$A,$C5,Calculator!$C:$C,$I5)+SUMIFS(Calculator!$BG:$BG,Calculator!$A:$A,$C5,Calculator!$C:$C,$I5),0)</f>
        <v/>
      </c>
      <c r="AF5" s="25">
        <f>$T5</f>
        <v/>
      </c>
      <c r="AG5" s="26">
        <f>$AF5*IFERROR(SUMIFS(Calculator!$E:$E,Calculator!$A:$A,$C5,Calculator!$C:$C,$I5),1)</f>
        <v/>
      </c>
      <c r="AH5" s="27">
        <f>IFERROR(VLOOKUP($E5,Parameters!$A$18:$B$23,2,FALSE),0)</f>
        <v/>
      </c>
      <c r="AI5" s="27">
        <f>IF(ISBLANK($J5),$AH5,$J5)</f>
        <v/>
      </c>
      <c r="AJ5" s="25">
        <f>$R5</f>
        <v/>
      </c>
      <c r="AK5" s="26">
        <f>$AJ5*IFERROR(SUMIFS(Calculator!$E:$E,Calculator!$A:$A,$C5,Calculator!$C:$C,$I5),1)</f>
        <v/>
      </c>
      <c r="AL5" s="25">
        <f>$AJ5*$AI5</f>
        <v/>
      </c>
      <c r="AM5" s="26">
        <f>$AL5*IFERROR(SUMIFS(Calculator!$E:$E,Calculator!$A:$A,$C5,Calculator!$C:$C,$I5),1)</f>
        <v/>
      </c>
      <c r="AN5" s="25">
        <f>IFERROR($G5/(Parameters!$B$15),0)</f>
        <v/>
      </c>
      <c r="AO5" s="27">
        <f>IFERROR(($AF5-$AN5)/$AN5,0)</f>
        <v/>
      </c>
    </row>
    <row r="6">
      <c r="A6" s="14" t="inlineStr">
        <is>
          <t>&lt;add&gt;</t>
        </is>
      </c>
      <c r="B6" s="14" t="inlineStr">
        <is>
          <t>AusCycling — federation membership platform</t>
        </is>
      </c>
      <c r="C6" s="14" t="inlineStr">
        <is>
          <t>auscycling</t>
        </is>
      </c>
      <c r="D6" s="14" t="inlineStr">
        <is>
          <t>AusCycling Limited</t>
        </is>
      </c>
      <c r="E6" s="14" t="inlineStr">
        <is>
          <t>Closed Won</t>
        </is>
      </c>
      <c r="F6" s="14" t="inlineStr">
        <is>
          <t>Marcel Berger</t>
        </is>
      </c>
      <c r="G6" s="24" t="n">
        <v>0</v>
      </c>
      <c r="H6" s="14" t="inlineStr">
        <is>
          <t>AUD</t>
        </is>
      </c>
      <c r="I6" s="14" t="inlineStr">
        <is>
          <t>fees-on-2027</t>
        </is>
      </c>
      <c r="J6" s="17" t="n">
        <v>1</v>
      </c>
      <c r="K6" s="16" t="n">
        <v>4</v>
      </c>
      <c r="L6" s="16" t="n">
        <v>2026</v>
      </c>
      <c r="M6" s="16" t="n">
        <v>6</v>
      </c>
      <c r="N6" s="16" t="n">
        <v>2026</v>
      </c>
      <c r="O6" s="16" t="n">
        <v>36</v>
      </c>
      <c r="P6" s="14" t="inlineStr">
        <is>
          <t>Net 30 from invoice</t>
        </is>
      </c>
      <c r="Q6" s="25">
        <f>IFERROR(SUMIFS(Calculator!$BN:$BN,Calculator!$A:$A,$C6,Calculator!$C:$C,$I6),0)</f>
        <v/>
      </c>
      <c r="R6" s="25">
        <f>IFERROR(SUMIFS(Calculator!$BQ:$BQ,Calculator!$A:$A,$C6,Calculator!$C:$C,$I6),0)</f>
        <v/>
      </c>
      <c r="S6" s="25">
        <f>IFERROR(SUMIFS(Calculator!$BY:$BY,Calculator!$A:$A,$C6,Calculator!$C:$C,$I6),0)</f>
        <v/>
      </c>
      <c r="T6" s="25">
        <f>IFERROR(SUMIFS(Calculator!$AQ:$AQ,Calculator!$A:$A,$C6,Calculator!$C:$C,$I6),0)</f>
        <v/>
      </c>
      <c r="U6" s="25">
        <f>IFERROR(SUMIFS(Calculator!$BH:$BH,Calculator!$A:$A,$C6,Calculator!$C:$C,$I6),0)</f>
        <v/>
      </c>
      <c r="V6" s="25">
        <f>IFERROR(SUMIFS(Calculator!$BI:$BI,Calculator!$A:$A,$C6,Calculator!$C:$C,$I6),0)</f>
        <v/>
      </c>
      <c r="W6" s="25">
        <f>IFERROR(SUMIFS(Calculator!$BJ:$BJ,Calculator!$A:$A,$C6,Calculator!$C:$C,$I6),0)</f>
        <v/>
      </c>
      <c r="X6" s="25">
        <f>IFERROR(SUMIFS(Calculator!$X:$X,Calculator!$A:$A,$C6,Calculator!$C:$C,$I6),0)</f>
        <v/>
      </c>
      <c r="Y6" s="25">
        <f>IFERROR(SUMIFS(Calculator!$Y:$Y,Calculator!$A:$A,$C6,Calculator!$C:$C,$I6),0)</f>
        <v/>
      </c>
      <c r="Z6" s="25">
        <f>IFERROR(SUMIFS(Calculator!$AU:$AU,Calculator!$A:$A,$C6,Calculator!$C:$C,$I6)+SUMIFS(Calculator!$AX:$AX,Calculator!$A:$A,$C6,Calculator!$C:$C,$I6),0)</f>
        <v/>
      </c>
      <c r="AA6" s="25">
        <f>IFERROR(SUMIFS(Calculator!$AD:$AD,Calculator!$A:$A,$C6,Calculator!$C:$C,$I6),0)</f>
        <v/>
      </c>
      <c r="AB6" s="25">
        <f>IFERROR(SUMIFS(Calculator!$AR:$AR,Calculator!$A:$A,$C6,Calculator!$C:$C,$I6),0)</f>
        <v/>
      </c>
      <c r="AC6" s="25">
        <f>IFERROR(SUMIFS(Calculator!$AS:$AS,Calculator!$A:$A,$C6,Calculator!$C:$C,$I6),0)</f>
        <v/>
      </c>
      <c r="AD6" s="25">
        <f>IFERROR(SUMIFS(Calculator!$BA:$BA,Calculator!$A:$A,$C6,Calculator!$C:$C,$I6)+SUMIFS(Calculator!$BC:$BC,Calculator!$A:$A,$C6,Calculator!$C:$C,$I6),0)</f>
        <v/>
      </c>
      <c r="AE6" s="25">
        <f>IFERROR(SUMIFS(Calculator!$BE:$BE,Calculator!$A:$A,$C6,Calculator!$C:$C,$I6)+SUMIFS(Calculator!$BG:$BG,Calculator!$A:$A,$C6,Calculator!$C:$C,$I6),0)</f>
        <v/>
      </c>
      <c r="AF6" s="25">
        <f>$T6</f>
        <v/>
      </c>
      <c r="AG6" s="26">
        <f>$AF6*IFERROR(SUMIFS(Calculator!$E:$E,Calculator!$A:$A,$C6,Calculator!$C:$C,$I6),1)</f>
        <v/>
      </c>
      <c r="AH6" s="27">
        <f>IFERROR(VLOOKUP($E6,Parameters!$A$18:$B$23,2,FALSE),0)</f>
        <v/>
      </c>
      <c r="AI6" s="27">
        <f>IF(ISBLANK($J6),$AH6,$J6)</f>
        <v/>
      </c>
      <c r="AJ6" s="25">
        <f>$R6</f>
        <v/>
      </c>
      <c r="AK6" s="26">
        <f>$AJ6*IFERROR(SUMIFS(Calculator!$E:$E,Calculator!$A:$A,$C6,Calculator!$C:$C,$I6),1)</f>
        <v/>
      </c>
      <c r="AL6" s="25">
        <f>$AJ6*$AI6</f>
        <v/>
      </c>
      <c r="AM6" s="26">
        <f>$AL6*IFERROR(SUMIFS(Calculator!$E:$E,Calculator!$A:$A,$C6,Calculator!$C:$C,$I6),1)</f>
        <v/>
      </c>
      <c r="AN6" s="25">
        <f>IFERROR($G6/(Parameters!$B$15),0)</f>
        <v/>
      </c>
      <c r="AO6" s="27">
        <f>IFERROR(($AF6-$AN6)/$AN6,0)</f>
        <v/>
      </c>
    </row>
    <row r="7">
      <c r="A7" s="14" t="inlineStr">
        <is>
          <t>&lt;add&gt;</t>
        </is>
      </c>
      <c r="B7" s="14" t="inlineStr">
        <is>
          <t>Pickleball Australia — federation membership platform</t>
        </is>
      </c>
      <c r="C7" s="14" t="inlineStr">
        <is>
          <t>pickleball-au</t>
        </is>
      </c>
      <c r="D7" s="14" t="inlineStr">
        <is>
          <t>Pickleball Australia</t>
        </is>
      </c>
      <c r="E7" s="14" t="inlineStr">
        <is>
          <t>Proposal</t>
        </is>
      </c>
      <c r="F7" s="14" t="inlineStr">
        <is>
          <t>Marcel Berger</t>
        </is>
      </c>
      <c r="G7" s="24" t="n">
        <v>0</v>
      </c>
      <c r="H7" s="14" t="inlineStr">
        <is>
          <t>AUD</t>
        </is>
      </c>
      <c r="I7" s="14" t="inlineStr">
        <is>
          <t>likely</t>
        </is>
      </c>
      <c r="J7" s="17" t="n"/>
      <c r="K7" s="16" t="n">
        <v>8</v>
      </c>
      <c r="L7" s="16" t="n">
        <v>2026</v>
      </c>
      <c r="M7" s="16" t="n">
        <v>9</v>
      </c>
      <c r="N7" s="16" t="n">
        <v>2026</v>
      </c>
      <c r="O7" s="16" t="n">
        <v>36</v>
      </c>
      <c r="P7" s="14" t="inlineStr">
        <is>
          <t>Net 30 from invoice</t>
        </is>
      </c>
      <c r="Q7" s="25">
        <f>IFERROR(SUMIFS(Calculator!$BN:$BN,Calculator!$A:$A,$C7,Calculator!$C:$C,$I7),0)</f>
        <v/>
      </c>
      <c r="R7" s="25">
        <f>IFERROR(SUMIFS(Calculator!$BQ:$BQ,Calculator!$A:$A,$C7,Calculator!$C:$C,$I7),0)</f>
        <v/>
      </c>
      <c r="S7" s="25">
        <f>IFERROR(SUMIFS(Calculator!$BY:$BY,Calculator!$A:$A,$C7,Calculator!$C:$C,$I7),0)</f>
        <v/>
      </c>
      <c r="T7" s="25">
        <f>IFERROR(SUMIFS(Calculator!$AQ:$AQ,Calculator!$A:$A,$C7,Calculator!$C:$C,$I7),0)</f>
        <v/>
      </c>
      <c r="U7" s="25">
        <f>IFERROR(SUMIFS(Calculator!$BH:$BH,Calculator!$A:$A,$C7,Calculator!$C:$C,$I7),0)</f>
        <v/>
      </c>
      <c r="V7" s="25">
        <f>IFERROR(SUMIFS(Calculator!$BI:$BI,Calculator!$A:$A,$C7,Calculator!$C:$C,$I7),0)</f>
        <v/>
      </c>
      <c r="W7" s="25">
        <f>IFERROR(SUMIFS(Calculator!$BJ:$BJ,Calculator!$A:$A,$C7,Calculator!$C:$C,$I7),0)</f>
        <v/>
      </c>
      <c r="X7" s="25">
        <f>IFERROR(SUMIFS(Calculator!$X:$X,Calculator!$A:$A,$C7,Calculator!$C:$C,$I7),0)</f>
        <v/>
      </c>
      <c r="Y7" s="25">
        <f>IFERROR(SUMIFS(Calculator!$Y:$Y,Calculator!$A:$A,$C7,Calculator!$C:$C,$I7),0)</f>
        <v/>
      </c>
      <c r="Z7" s="25">
        <f>IFERROR(SUMIFS(Calculator!$AU:$AU,Calculator!$A:$A,$C7,Calculator!$C:$C,$I7)+SUMIFS(Calculator!$AX:$AX,Calculator!$A:$A,$C7,Calculator!$C:$C,$I7),0)</f>
        <v/>
      </c>
      <c r="AA7" s="25">
        <f>IFERROR(SUMIFS(Calculator!$AD:$AD,Calculator!$A:$A,$C7,Calculator!$C:$C,$I7),0)</f>
        <v/>
      </c>
      <c r="AB7" s="25">
        <f>IFERROR(SUMIFS(Calculator!$AR:$AR,Calculator!$A:$A,$C7,Calculator!$C:$C,$I7),0)</f>
        <v/>
      </c>
      <c r="AC7" s="25">
        <f>IFERROR(SUMIFS(Calculator!$AS:$AS,Calculator!$A:$A,$C7,Calculator!$C:$C,$I7),0)</f>
        <v/>
      </c>
      <c r="AD7" s="25">
        <f>IFERROR(SUMIFS(Calculator!$BA:$BA,Calculator!$A:$A,$C7,Calculator!$C:$C,$I7)+SUMIFS(Calculator!$BC:$BC,Calculator!$A:$A,$C7,Calculator!$C:$C,$I7),0)</f>
        <v/>
      </c>
      <c r="AE7" s="25">
        <f>IFERROR(SUMIFS(Calculator!$BE:$BE,Calculator!$A:$A,$C7,Calculator!$C:$C,$I7)+SUMIFS(Calculator!$BG:$BG,Calculator!$A:$A,$C7,Calculator!$C:$C,$I7),0)</f>
        <v/>
      </c>
      <c r="AF7" s="25">
        <f>$T7</f>
        <v/>
      </c>
      <c r="AG7" s="26">
        <f>$AF7*IFERROR(SUMIFS(Calculator!$E:$E,Calculator!$A:$A,$C7,Calculator!$C:$C,$I7),1)</f>
        <v/>
      </c>
      <c r="AH7" s="27">
        <f>IFERROR(VLOOKUP($E7,Parameters!$A$18:$B$23,2,FALSE),0)</f>
        <v/>
      </c>
      <c r="AI7" s="27">
        <f>IF(ISBLANK($J7),$AH7,$J7)</f>
        <v/>
      </c>
      <c r="AJ7" s="25">
        <f>$R7</f>
        <v/>
      </c>
      <c r="AK7" s="26">
        <f>$AJ7*IFERROR(SUMIFS(Calculator!$E:$E,Calculator!$A:$A,$C7,Calculator!$C:$C,$I7),1)</f>
        <v/>
      </c>
      <c r="AL7" s="25">
        <f>$AJ7*$AI7</f>
        <v/>
      </c>
      <c r="AM7" s="26">
        <f>$AL7*IFERROR(SUMIFS(Calculator!$E:$E,Calculator!$A:$A,$C7,Calculator!$C:$C,$I7),1)</f>
        <v/>
      </c>
      <c r="AN7" s="25">
        <f>IFERROR($G7/(Parameters!$B$15),0)</f>
        <v/>
      </c>
      <c r="AO7" s="27">
        <f>IFERROR(($AF7-$AN7)/$AN7,0)</f>
        <v/>
      </c>
    </row>
    <row r="8">
      <c r="A8" s="14" t="inlineStr">
        <is>
          <t>&lt;add&gt;</t>
        </is>
      </c>
      <c r="B8" s="14" t="inlineStr">
        <is>
          <t>NPL Australia — The Jar member play</t>
        </is>
      </c>
      <c r="C8" s="14" t="inlineStr">
        <is>
          <t>npl</t>
        </is>
      </c>
      <c r="D8" s="14" t="inlineStr">
        <is>
          <t>NPL Australia</t>
        </is>
      </c>
      <c r="E8" s="14" t="inlineStr">
        <is>
          <t>Discovery</t>
        </is>
      </c>
      <c r="F8" s="14" t="inlineStr">
        <is>
          <t>Marcel Berger</t>
        </is>
      </c>
      <c r="G8" s="24" t="n">
        <v>24000</v>
      </c>
      <c r="H8" s="14" t="inlineStr">
        <is>
          <t>USD</t>
        </is>
      </c>
      <c r="I8" s="14" t="inlineStr">
        <is>
          <t>likely</t>
        </is>
      </c>
      <c r="J8" s="17" t="n"/>
      <c r="K8" s="16" t="n">
        <v>6</v>
      </c>
      <c r="L8" s="16" t="n">
        <v>2026</v>
      </c>
      <c r="M8" s="16" t="n">
        <v>7</v>
      </c>
      <c r="N8" s="16" t="n">
        <v>2026</v>
      </c>
      <c r="O8" s="16" t="n">
        <v>36</v>
      </c>
      <c r="P8" s="14" t="inlineStr">
        <is>
          <t>Quarterly in advance</t>
        </is>
      </c>
      <c r="Q8" s="25">
        <f>IFERROR(SUMIFS(Calculator!$BN:$BN,Calculator!$A:$A,$C8,Calculator!$C:$C,$I8),0)</f>
        <v/>
      </c>
      <c r="R8" s="25">
        <f>IFERROR(SUMIFS(Calculator!$BQ:$BQ,Calculator!$A:$A,$C8,Calculator!$C:$C,$I8),0)</f>
        <v/>
      </c>
      <c r="S8" s="25">
        <f>IFERROR(SUMIFS(Calculator!$BY:$BY,Calculator!$A:$A,$C8,Calculator!$C:$C,$I8),0)</f>
        <v/>
      </c>
      <c r="T8" s="25">
        <f>IFERROR(SUMIFS(Calculator!$AQ:$AQ,Calculator!$A:$A,$C8,Calculator!$C:$C,$I8),0)</f>
        <v/>
      </c>
      <c r="U8" s="25">
        <f>IFERROR(SUMIFS(Calculator!$BH:$BH,Calculator!$A:$A,$C8,Calculator!$C:$C,$I8),0)</f>
        <v/>
      </c>
      <c r="V8" s="25">
        <f>IFERROR(SUMIFS(Calculator!$BI:$BI,Calculator!$A:$A,$C8,Calculator!$C:$C,$I8),0)</f>
        <v/>
      </c>
      <c r="W8" s="25">
        <f>IFERROR(SUMIFS(Calculator!$BJ:$BJ,Calculator!$A:$A,$C8,Calculator!$C:$C,$I8),0)</f>
        <v/>
      </c>
      <c r="X8" s="25">
        <f>IFERROR(SUMIFS(Calculator!$X:$X,Calculator!$A:$A,$C8,Calculator!$C:$C,$I8),0)</f>
        <v/>
      </c>
      <c r="Y8" s="25">
        <f>IFERROR(SUMIFS(Calculator!$Y:$Y,Calculator!$A:$A,$C8,Calculator!$C:$C,$I8),0)</f>
        <v/>
      </c>
      <c r="Z8" s="25">
        <f>IFERROR(SUMIFS(Calculator!$AU:$AU,Calculator!$A:$A,$C8,Calculator!$C:$C,$I8)+SUMIFS(Calculator!$AX:$AX,Calculator!$A:$A,$C8,Calculator!$C:$C,$I8),0)</f>
        <v/>
      </c>
      <c r="AA8" s="25">
        <f>IFERROR(SUMIFS(Calculator!$AD:$AD,Calculator!$A:$A,$C8,Calculator!$C:$C,$I8),0)</f>
        <v/>
      </c>
      <c r="AB8" s="25">
        <f>IFERROR(SUMIFS(Calculator!$AR:$AR,Calculator!$A:$A,$C8,Calculator!$C:$C,$I8),0)</f>
        <v/>
      </c>
      <c r="AC8" s="25">
        <f>IFERROR(SUMIFS(Calculator!$AS:$AS,Calculator!$A:$A,$C8,Calculator!$C:$C,$I8),0)</f>
        <v/>
      </c>
      <c r="AD8" s="25">
        <f>IFERROR(SUMIFS(Calculator!$BA:$BA,Calculator!$A:$A,$C8,Calculator!$C:$C,$I8)+SUMIFS(Calculator!$BC:$BC,Calculator!$A:$A,$C8,Calculator!$C:$C,$I8),0)</f>
        <v/>
      </c>
      <c r="AE8" s="25">
        <f>IFERROR(SUMIFS(Calculator!$BE:$BE,Calculator!$A:$A,$C8,Calculator!$C:$C,$I8)+SUMIFS(Calculator!$BG:$BG,Calculator!$A:$A,$C8,Calculator!$C:$C,$I8),0)</f>
        <v/>
      </c>
      <c r="AF8" s="25">
        <f>$T8</f>
        <v/>
      </c>
      <c r="AG8" s="26">
        <f>$AF8*IFERROR(SUMIFS(Calculator!$E:$E,Calculator!$A:$A,$C8,Calculator!$C:$C,$I8),1)</f>
        <v/>
      </c>
      <c r="AH8" s="27">
        <f>IFERROR(VLOOKUP($E8,Parameters!$A$18:$B$23,2,FALSE),0)</f>
        <v/>
      </c>
      <c r="AI8" s="27">
        <f>IF(ISBLANK($J8),$AH8,$J8)</f>
        <v/>
      </c>
      <c r="AJ8" s="25">
        <f>$R8</f>
        <v/>
      </c>
      <c r="AK8" s="26">
        <f>$AJ8*IFERROR(SUMIFS(Calculator!$E:$E,Calculator!$A:$A,$C8,Calculator!$C:$C,$I8),1)</f>
        <v/>
      </c>
      <c r="AL8" s="25">
        <f>$AJ8*$AI8</f>
        <v/>
      </c>
      <c r="AM8" s="26">
        <f>$AL8*IFERROR(SUMIFS(Calculator!$E:$E,Calculator!$A:$A,$C8,Calculator!$C:$C,$I8),1)</f>
        <v/>
      </c>
      <c r="AN8" s="25">
        <f>IFERROR($G8/(Parameters!$B$15),0)</f>
        <v/>
      </c>
      <c r="AO8" s="27">
        <f>IFERROR(($AF8-$AN8)/$AN8,0)</f>
        <v/>
      </c>
    </row>
    <row r="9">
      <c r="A9" s="14" t="inlineStr">
        <is>
          <t>&lt;add&gt;</t>
        </is>
      </c>
      <c r="B9" s="14" t="inlineStr">
        <is>
          <t>Volleyball World — FIVB membership platform</t>
        </is>
      </c>
      <c r="C9" s="14" t="inlineStr">
        <is>
          <t>volleyball-world</t>
        </is>
      </c>
      <c r="D9" s="14" t="inlineStr">
        <is>
          <t>Volleyball World (FIVB)</t>
        </is>
      </c>
      <c r="E9" s="14" t="inlineStr">
        <is>
          <t>Proposal</t>
        </is>
      </c>
      <c r="F9" s="14" t="inlineStr">
        <is>
          <t>Marcel Berger</t>
        </is>
      </c>
      <c r="G9" s="24" t="n">
        <v>0</v>
      </c>
      <c r="H9" s="14" t="inlineStr">
        <is>
          <t>AUD</t>
        </is>
      </c>
      <c r="I9" s="14" t="inlineStr">
        <is>
          <t>likely</t>
        </is>
      </c>
      <c r="J9" s="17" t="n"/>
      <c r="K9" s="16" t="n">
        <v>11</v>
      </c>
      <c r="L9" s="16" t="n">
        <v>2026</v>
      </c>
      <c r="M9" s="16" t="n">
        <v>1</v>
      </c>
      <c r="N9" s="16" t="n">
        <v>2027</v>
      </c>
      <c r="O9" s="16" t="n">
        <v>36</v>
      </c>
      <c r="P9" s="14" t="inlineStr">
        <is>
          <t>Net 30 from invoice</t>
        </is>
      </c>
      <c r="Q9" s="25">
        <f>IFERROR(SUMIFS(Calculator!$BN:$BN,Calculator!$A:$A,$C9,Calculator!$C:$C,$I9),0)</f>
        <v/>
      </c>
      <c r="R9" s="25">
        <f>IFERROR(SUMIFS(Calculator!$BQ:$BQ,Calculator!$A:$A,$C9,Calculator!$C:$C,$I9),0)</f>
        <v/>
      </c>
      <c r="S9" s="25">
        <f>IFERROR(SUMIFS(Calculator!$BY:$BY,Calculator!$A:$A,$C9,Calculator!$C:$C,$I9),0)</f>
        <v/>
      </c>
      <c r="T9" s="25">
        <f>IFERROR(SUMIFS(Calculator!$AQ:$AQ,Calculator!$A:$A,$C9,Calculator!$C:$C,$I9),0)</f>
        <v/>
      </c>
      <c r="U9" s="25">
        <f>IFERROR(SUMIFS(Calculator!$BH:$BH,Calculator!$A:$A,$C9,Calculator!$C:$C,$I9),0)</f>
        <v/>
      </c>
      <c r="V9" s="25">
        <f>IFERROR(SUMIFS(Calculator!$BI:$BI,Calculator!$A:$A,$C9,Calculator!$C:$C,$I9),0)</f>
        <v/>
      </c>
      <c r="W9" s="25">
        <f>IFERROR(SUMIFS(Calculator!$BJ:$BJ,Calculator!$A:$A,$C9,Calculator!$C:$C,$I9),0)</f>
        <v/>
      </c>
      <c r="X9" s="25">
        <f>IFERROR(SUMIFS(Calculator!$X:$X,Calculator!$A:$A,$C9,Calculator!$C:$C,$I9),0)</f>
        <v/>
      </c>
      <c r="Y9" s="25">
        <f>IFERROR(SUMIFS(Calculator!$Y:$Y,Calculator!$A:$A,$C9,Calculator!$C:$C,$I9),0)</f>
        <v/>
      </c>
      <c r="Z9" s="25">
        <f>IFERROR(SUMIFS(Calculator!$AU:$AU,Calculator!$A:$A,$C9,Calculator!$C:$C,$I9)+SUMIFS(Calculator!$AX:$AX,Calculator!$A:$A,$C9,Calculator!$C:$C,$I9),0)</f>
        <v/>
      </c>
      <c r="AA9" s="25">
        <f>IFERROR(SUMIFS(Calculator!$AD:$AD,Calculator!$A:$A,$C9,Calculator!$C:$C,$I9),0)</f>
        <v/>
      </c>
      <c r="AB9" s="25">
        <f>IFERROR(SUMIFS(Calculator!$AR:$AR,Calculator!$A:$A,$C9,Calculator!$C:$C,$I9),0)</f>
        <v/>
      </c>
      <c r="AC9" s="25">
        <f>IFERROR(SUMIFS(Calculator!$AS:$AS,Calculator!$A:$A,$C9,Calculator!$C:$C,$I9),0)</f>
        <v/>
      </c>
      <c r="AD9" s="25">
        <f>IFERROR(SUMIFS(Calculator!$BA:$BA,Calculator!$A:$A,$C9,Calculator!$C:$C,$I9)+SUMIFS(Calculator!$BC:$BC,Calculator!$A:$A,$C9,Calculator!$C:$C,$I9),0)</f>
        <v/>
      </c>
      <c r="AE9" s="25">
        <f>IFERROR(SUMIFS(Calculator!$BE:$BE,Calculator!$A:$A,$C9,Calculator!$C:$C,$I9)+SUMIFS(Calculator!$BG:$BG,Calculator!$A:$A,$C9,Calculator!$C:$C,$I9),0)</f>
        <v/>
      </c>
      <c r="AF9" s="25">
        <f>$T9</f>
        <v/>
      </c>
      <c r="AG9" s="26">
        <f>$AF9*IFERROR(SUMIFS(Calculator!$E:$E,Calculator!$A:$A,$C9,Calculator!$C:$C,$I9),1)</f>
        <v/>
      </c>
      <c r="AH9" s="27">
        <f>IFERROR(VLOOKUP($E9,Parameters!$A$18:$B$23,2,FALSE),0)</f>
        <v/>
      </c>
      <c r="AI9" s="27">
        <f>IF(ISBLANK($J9),$AH9,$J9)</f>
        <v/>
      </c>
      <c r="AJ9" s="25">
        <f>$R9</f>
        <v/>
      </c>
      <c r="AK9" s="26">
        <f>$AJ9*IFERROR(SUMIFS(Calculator!$E:$E,Calculator!$A:$A,$C9,Calculator!$C:$C,$I9),1)</f>
        <v/>
      </c>
      <c r="AL9" s="25">
        <f>$AJ9*$AI9</f>
        <v/>
      </c>
      <c r="AM9" s="26">
        <f>$AL9*IFERROR(SUMIFS(Calculator!$E:$E,Calculator!$A:$A,$C9,Calculator!$C:$C,$I9),1)</f>
        <v/>
      </c>
      <c r="AN9" s="25">
        <f>IFERROR($G9/(Parameters!$B$15),0)</f>
        <v/>
      </c>
      <c r="AO9" s="27">
        <f>IFERROR(($AF9-$AN9)/$AN9,0)</f>
        <v/>
      </c>
    </row>
  </sheetData>
  <mergeCells count="6">
    <mergeCell ref="AH2:AM2"/>
    <mergeCell ref="Q2:AE2"/>
    <mergeCell ref="A2:H2"/>
    <mergeCell ref="AF2:AG2"/>
    <mergeCell ref="I2:P2"/>
    <mergeCell ref="AN2:AO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51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14" customWidth="1" min="2" max="2"/>
    <col width="15" customWidth="1" min="3" max="3"/>
    <col width="14" customWidth="1" min="4" max="4"/>
    <col width="14" customWidth="1" min="5" max="5"/>
    <col width="14" customWidth="1" min="6" max="6"/>
    <col width="14" customWidth="1" min="7" max="7"/>
    <col width="19" customWidth="1" min="8" max="8"/>
    <col width="23" customWidth="1" min="9" max="9"/>
    <col width="22" customWidth="1" min="10" max="10"/>
    <col width="18" customWidth="1" min="11" max="11"/>
    <col width="26" customWidth="1" min="12" max="12"/>
  </cols>
  <sheetData>
    <row r="1">
      <c r="A1" s="1" t="inlineStr">
        <is>
          <t>Contract schedule — line items × period per deal</t>
        </is>
      </c>
    </row>
    <row r="2">
      <c r="A2" s="5" t="inlineStr">
        <is>
          <t>Contract line items</t>
        </is>
      </c>
    </row>
    <row r="3">
      <c r="A3" s="13" t="inlineStr">
        <is>
          <t>deal_id</t>
        </is>
      </c>
      <c r="B3" s="13" t="inlineStr">
        <is>
          <t>deal_name</t>
        </is>
      </c>
      <c r="C3" s="13" t="inlineStr">
        <is>
          <t>client_name</t>
        </is>
      </c>
      <c r="D3" s="13" t="inlineStr">
        <is>
          <t>scenario</t>
        </is>
      </c>
      <c r="E3" s="13" t="inlineStr">
        <is>
          <t>line_item</t>
        </is>
      </c>
      <c r="F3" s="13" t="inlineStr">
        <is>
          <t>year</t>
        </is>
      </c>
      <c r="G3" s="13" t="inlineStr">
        <is>
          <t>amount_gbp</t>
        </is>
      </c>
      <c r="H3" s="13" t="inlineStr">
        <is>
          <t>billing_pattern</t>
        </is>
      </c>
      <c r="I3" s="13" t="inlineStr">
        <is>
          <t>first_invoice_month</t>
        </is>
      </c>
      <c r="J3" s="13" t="inlineStr">
        <is>
          <t>first_invoice_year</t>
        </is>
      </c>
      <c r="K3" s="13" t="inlineStr">
        <is>
          <t>invoices_count</t>
        </is>
      </c>
      <c r="L3" s="13" t="inlineStr">
        <is>
          <t>amount_per_invoice_gbp</t>
        </is>
      </c>
    </row>
    <row r="4">
      <c r="A4" s="28">
        <f>Deals!$A4</f>
        <v/>
      </c>
      <c r="B4" s="28">
        <f>Deals!$B4</f>
        <v/>
      </c>
      <c r="C4" s="28">
        <f>Deals!$D4</f>
        <v/>
      </c>
      <c r="D4" s="28">
        <f>Deals!$I4</f>
        <v/>
      </c>
      <c r="E4" s="29" t="inlineStr">
        <is>
          <t>Platform fee</t>
        </is>
      </c>
      <c r="F4" s="29" t="n">
        <v>1</v>
      </c>
      <c r="G4" s="25">
        <f>Deals!$T4</f>
        <v/>
      </c>
      <c r="H4" s="28">
        <f>Deals!$P4</f>
        <v/>
      </c>
      <c r="I4" s="28">
        <f>Deals!$M4</f>
        <v/>
      </c>
      <c r="J4" s="29">
        <f>Deals!$N4+0</f>
        <v/>
      </c>
      <c r="K4" s="29" t="n">
        <v>4</v>
      </c>
      <c r="L4" s="21">
        <f>IFERROR(G4/K4,0)</f>
        <v/>
      </c>
    </row>
    <row r="5">
      <c r="A5" s="28">
        <f>Deals!$A4</f>
        <v/>
      </c>
      <c r="B5" s="28">
        <f>Deals!$B4</f>
        <v/>
      </c>
      <c r="C5" s="28">
        <f>Deals!$D4</f>
        <v/>
      </c>
      <c r="D5" s="28">
        <f>Deals!$I4</f>
        <v/>
      </c>
      <c r="E5" s="29" t="inlineStr">
        <is>
          <t>Exclusivity (net to TA)</t>
        </is>
      </c>
      <c r="F5" s="29" t="n">
        <v>1</v>
      </c>
      <c r="G5" s="25">
        <f>Deals!$U4</f>
        <v/>
      </c>
      <c r="H5" s="29" t="inlineStr">
        <is>
          <t>One-off at signing</t>
        </is>
      </c>
      <c r="I5" s="28">
        <f>Deals!$M4</f>
        <v/>
      </c>
      <c r="J5" s="29">
        <f>Deals!$N4+0</f>
        <v/>
      </c>
      <c r="K5" s="29" t="n">
        <v>1</v>
      </c>
      <c r="L5" s="21">
        <f>IFERROR(G5/K5,0)</f>
        <v/>
      </c>
    </row>
    <row r="6">
      <c r="A6" s="28">
        <f>Deals!$A4</f>
        <v/>
      </c>
      <c r="B6" s="28">
        <f>Deals!$B4</f>
        <v/>
      </c>
      <c r="C6" s="28">
        <f>Deals!$D4</f>
        <v/>
      </c>
      <c r="D6" s="28">
        <f>Deals!$I4</f>
        <v/>
      </c>
      <c r="E6" s="29" t="inlineStr">
        <is>
          <t>Commissions (TA share)</t>
        </is>
      </c>
      <c r="F6" s="29" t="n">
        <v>1</v>
      </c>
      <c r="G6" s="25">
        <f>Deals!$Z4</f>
        <v/>
      </c>
      <c r="H6" s="29" t="inlineStr">
        <is>
          <t>Commission accrual quarterly arrears</t>
        </is>
      </c>
      <c r="I6" s="28">
        <f>Deals!$M4</f>
        <v/>
      </c>
      <c r="J6" s="29">
        <f>Deals!$N4+0</f>
        <v/>
      </c>
      <c r="K6" s="29" t="n">
        <v>4</v>
      </c>
      <c r="L6" s="21">
        <f>IFERROR(G6/K6,0)</f>
        <v/>
      </c>
    </row>
    <row r="7">
      <c r="A7" s="28">
        <f>Deals!$A4</f>
        <v/>
      </c>
      <c r="B7" s="28">
        <f>Deals!$B4</f>
        <v/>
      </c>
      <c r="C7" s="28">
        <f>Deals!$D4</f>
        <v/>
      </c>
      <c r="D7" s="28">
        <f>Deals!$I4</f>
        <v/>
      </c>
      <c r="E7" s="29" t="inlineStr">
        <is>
          <t>Additional fees</t>
        </is>
      </c>
      <c r="F7" s="29" t="n">
        <v>1</v>
      </c>
      <c r="G7" s="25">
        <f>Deals!$AA4</f>
        <v/>
      </c>
      <c r="H7" s="29" t="inlineStr">
        <is>
          <t>One-off at signing</t>
        </is>
      </c>
      <c r="I7" s="28">
        <f>Deals!$M4</f>
        <v/>
      </c>
      <c r="J7" s="29">
        <f>Deals!$N4+0</f>
        <v/>
      </c>
      <c r="K7" s="29" t="n">
        <v>1</v>
      </c>
      <c r="L7" s="21">
        <f>IFERROR(G7/K7,0)</f>
        <v/>
      </c>
    </row>
    <row r="8">
      <c r="A8" s="28">
        <f>Deals!$A4</f>
        <v/>
      </c>
      <c r="B8" s="28">
        <f>Deals!$B4</f>
        <v/>
      </c>
      <c r="C8" s="28">
        <f>Deals!$D4</f>
        <v/>
      </c>
      <c r="D8" s="28">
        <f>Deals!$I4</f>
        <v/>
      </c>
      <c r="E8" s="29" t="inlineStr">
        <is>
          <t>Platform fee</t>
        </is>
      </c>
      <c r="F8" s="29" t="n">
        <v>2</v>
      </c>
      <c r="G8" s="25">
        <f>Deals!$AB4</f>
        <v/>
      </c>
      <c r="H8" s="28">
        <f>Deals!$P4</f>
        <v/>
      </c>
      <c r="I8" s="28">
        <f>Deals!$M4</f>
        <v/>
      </c>
      <c r="J8" s="29">
        <f>Deals!$N4+1</f>
        <v/>
      </c>
      <c r="K8" s="29" t="n">
        <v>4</v>
      </c>
      <c r="L8" s="21">
        <f>IFERROR(G8/K8,0)</f>
        <v/>
      </c>
    </row>
    <row r="9">
      <c r="A9" s="28">
        <f>Deals!$A4</f>
        <v/>
      </c>
      <c r="B9" s="28">
        <f>Deals!$B4</f>
        <v/>
      </c>
      <c r="C9" s="28">
        <f>Deals!$D4</f>
        <v/>
      </c>
      <c r="D9" s="28">
        <f>Deals!$I4</f>
        <v/>
      </c>
      <c r="E9" s="29" t="inlineStr">
        <is>
          <t>Commissions (TA share)</t>
        </is>
      </c>
      <c r="F9" s="29" t="n">
        <v>2</v>
      </c>
      <c r="G9" s="25">
        <f>Deals!$AD4</f>
        <v/>
      </c>
      <c r="H9" s="29" t="inlineStr">
        <is>
          <t>Commission accrual quarterly arrears</t>
        </is>
      </c>
      <c r="I9" s="28">
        <f>Deals!$M4</f>
        <v/>
      </c>
      <c r="J9" s="29">
        <f>Deals!$N4+1</f>
        <v/>
      </c>
      <c r="K9" s="29" t="n">
        <v>4</v>
      </c>
      <c r="L9" s="21">
        <f>IFERROR(G9/K9,0)</f>
        <v/>
      </c>
    </row>
    <row r="10">
      <c r="A10" s="28">
        <f>Deals!$A4</f>
        <v/>
      </c>
      <c r="B10" s="28">
        <f>Deals!$B4</f>
        <v/>
      </c>
      <c r="C10" s="28">
        <f>Deals!$D4</f>
        <v/>
      </c>
      <c r="D10" s="28">
        <f>Deals!$I4</f>
        <v/>
      </c>
      <c r="E10" s="29" t="inlineStr">
        <is>
          <t>Platform fee</t>
        </is>
      </c>
      <c r="F10" s="29" t="n">
        <v>3</v>
      </c>
      <c r="G10" s="25">
        <f>Deals!$AC4</f>
        <v/>
      </c>
      <c r="H10" s="28">
        <f>Deals!$P4</f>
        <v/>
      </c>
      <c r="I10" s="28">
        <f>Deals!$M4</f>
        <v/>
      </c>
      <c r="J10" s="29">
        <f>Deals!$N4+2</f>
        <v/>
      </c>
      <c r="K10" s="29" t="n">
        <v>4</v>
      </c>
      <c r="L10" s="21">
        <f>IFERROR(G10/K10,0)</f>
        <v/>
      </c>
    </row>
    <row r="11">
      <c r="A11" s="28">
        <f>Deals!$A4</f>
        <v/>
      </c>
      <c r="B11" s="28">
        <f>Deals!$B4</f>
        <v/>
      </c>
      <c r="C11" s="28">
        <f>Deals!$D4</f>
        <v/>
      </c>
      <c r="D11" s="28">
        <f>Deals!$I4</f>
        <v/>
      </c>
      <c r="E11" s="29" t="inlineStr">
        <is>
          <t>Commissions (TA share)</t>
        </is>
      </c>
      <c r="F11" s="29" t="n">
        <v>3</v>
      </c>
      <c r="G11" s="25">
        <f>Deals!$AE4</f>
        <v/>
      </c>
      <c r="H11" s="29" t="inlineStr">
        <is>
          <t>Commission accrual quarterly arrears</t>
        </is>
      </c>
      <c r="I11" s="28">
        <f>Deals!$M4</f>
        <v/>
      </c>
      <c r="J11" s="29">
        <f>Deals!$N4+2</f>
        <v/>
      </c>
      <c r="K11" s="29" t="n">
        <v>4</v>
      </c>
      <c r="L11" s="21">
        <f>IFERROR(G11/K11,0)</f>
        <v/>
      </c>
    </row>
    <row r="12">
      <c r="A12" s="28">
        <f>Deals!$A5</f>
        <v/>
      </c>
      <c r="B12" s="28">
        <f>Deals!$B5</f>
        <v/>
      </c>
      <c r="C12" s="28">
        <f>Deals!$D5</f>
        <v/>
      </c>
      <c r="D12" s="28">
        <f>Deals!$I5</f>
        <v/>
      </c>
      <c r="E12" s="29" t="inlineStr">
        <is>
          <t>Platform fee</t>
        </is>
      </c>
      <c r="F12" s="29" t="n">
        <v>1</v>
      </c>
      <c r="G12" s="25">
        <f>Deals!$T5</f>
        <v/>
      </c>
      <c r="H12" s="28">
        <f>Deals!$P5</f>
        <v/>
      </c>
      <c r="I12" s="28">
        <f>Deals!$M5</f>
        <v/>
      </c>
      <c r="J12" s="29">
        <f>Deals!$N5+0</f>
        <v/>
      </c>
      <c r="K12" s="29" t="n">
        <v>4</v>
      </c>
      <c r="L12" s="21">
        <f>IFERROR(G12/K12,0)</f>
        <v/>
      </c>
    </row>
    <row r="13">
      <c r="A13" s="28">
        <f>Deals!$A5</f>
        <v/>
      </c>
      <c r="B13" s="28">
        <f>Deals!$B5</f>
        <v/>
      </c>
      <c r="C13" s="28">
        <f>Deals!$D5</f>
        <v/>
      </c>
      <c r="D13" s="28">
        <f>Deals!$I5</f>
        <v/>
      </c>
      <c r="E13" s="29" t="inlineStr">
        <is>
          <t>Exclusivity (net to TA)</t>
        </is>
      </c>
      <c r="F13" s="29" t="n">
        <v>1</v>
      </c>
      <c r="G13" s="25">
        <f>Deals!$U5</f>
        <v/>
      </c>
      <c r="H13" s="29" t="inlineStr">
        <is>
          <t>One-off at signing</t>
        </is>
      </c>
      <c r="I13" s="28">
        <f>Deals!$M5</f>
        <v/>
      </c>
      <c r="J13" s="29">
        <f>Deals!$N5+0</f>
        <v/>
      </c>
      <c r="K13" s="29" t="n">
        <v>1</v>
      </c>
      <c r="L13" s="21">
        <f>IFERROR(G13/K13,0)</f>
        <v/>
      </c>
    </row>
    <row r="14">
      <c r="A14" s="28">
        <f>Deals!$A5</f>
        <v/>
      </c>
      <c r="B14" s="28">
        <f>Deals!$B5</f>
        <v/>
      </c>
      <c r="C14" s="28">
        <f>Deals!$D5</f>
        <v/>
      </c>
      <c r="D14" s="28">
        <f>Deals!$I5</f>
        <v/>
      </c>
      <c r="E14" s="29" t="inlineStr">
        <is>
          <t>Commissions (TA share)</t>
        </is>
      </c>
      <c r="F14" s="29" t="n">
        <v>1</v>
      </c>
      <c r="G14" s="25">
        <f>Deals!$Z5</f>
        <v/>
      </c>
      <c r="H14" s="29" t="inlineStr">
        <is>
          <t>Commission accrual quarterly arrears</t>
        </is>
      </c>
      <c r="I14" s="28">
        <f>Deals!$M5</f>
        <v/>
      </c>
      <c r="J14" s="29">
        <f>Deals!$N5+0</f>
        <v/>
      </c>
      <c r="K14" s="29" t="n">
        <v>4</v>
      </c>
      <c r="L14" s="21">
        <f>IFERROR(G14/K14,0)</f>
        <v/>
      </c>
    </row>
    <row r="15">
      <c r="A15" s="28">
        <f>Deals!$A5</f>
        <v/>
      </c>
      <c r="B15" s="28">
        <f>Deals!$B5</f>
        <v/>
      </c>
      <c r="C15" s="28">
        <f>Deals!$D5</f>
        <v/>
      </c>
      <c r="D15" s="28">
        <f>Deals!$I5</f>
        <v/>
      </c>
      <c r="E15" s="29" t="inlineStr">
        <is>
          <t>Additional fees</t>
        </is>
      </c>
      <c r="F15" s="29" t="n">
        <v>1</v>
      </c>
      <c r="G15" s="25">
        <f>Deals!$AA5</f>
        <v/>
      </c>
      <c r="H15" s="29" t="inlineStr">
        <is>
          <t>One-off at signing</t>
        </is>
      </c>
      <c r="I15" s="28">
        <f>Deals!$M5</f>
        <v/>
      </c>
      <c r="J15" s="29">
        <f>Deals!$N5+0</f>
        <v/>
      </c>
      <c r="K15" s="29" t="n">
        <v>1</v>
      </c>
      <c r="L15" s="21">
        <f>IFERROR(G15/K15,0)</f>
        <v/>
      </c>
    </row>
    <row r="16">
      <c r="A16" s="28">
        <f>Deals!$A5</f>
        <v/>
      </c>
      <c r="B16" s="28">
        <f>Deals!$B5</f>
        <v/>
      </c>
      <c r="C16" s="28">
        <f>Deals!$D5</f>
        <v/>
      </c>
      <c r="D16" s="28">
        <f>Deals!$I5</f>
        <v/>
      </c>
      <c r="E16" s="29" t="inlineStr">
        <is>
          <t>Platform fee</t>
        </is>
      </c>
      <c r="F16" s="29" t="n">
        <v>2</v>
      </c>
      <c r="G16" s="25">
        <f>Deals!$AB5</f>
        <v/>
      </c>
      <c r="H16" s="28">
        <f>Deals!$P5</f>
        <v/>
      </c>
      <c r="I16" s="28">
        <f>Deals!$M5</f>
        <v/>
      </c>
      <c r="J16" s="29">
        <f>Deals!$N5+1</f>
        <v/>
      </c>
      <c r="K16" s="29" t="n">
        <v>4</v>
      </c>
      <c r="L16" s="21">
        <f>IFERROR(G16/K16,0)</f>
        <v/>
      </c>
    </row>
    <row r="17">
      <c r="A17" s="28">
        <f>Deals!$A5</f>
        <v/>
      </c>
      <c r="B17" s="28">
        <f>Deals!$B5</f>
        <v/>
      </c>
      <c r="C17" s="28">
        <f>Deals!$D5</f>
        <v/>
      </c>
      <c r="D17" s="28">
        <f>Deals!$I5</f>
        <v/>
      </c>
      <c r="E17" s="29" t="inlineStr">
        <is>
          <t>Commissions (TA share)</t>
        </is>
      </c>
      <c r="F17" s="29" t="n">
        <v>2</v>
      </c>
      <c r="G17" s="25">
        <f>Deals!$AD5</f>
        <v/>
      </c>
      <c r="H17" s="29" t="inlineStr">
        <is>
          <t>Commission accrual quarterly arrears</t>
        </is>
      </c>
      <c r="I17" s="28">
        <f>Deals!$M5</f>
        <v/>
      </c>
      <c r="J17" s="29">
        <f>Deals!$N5+1</f>
        <v/>
      </c>
      <c r="K17" s="29" t="n">
        <v>4</v>
      </c>
      <c r="L17" s="21">
        <f>IFERROR(G17/K17,0)</f>
        <v/>
      </c>
    </row>
    <row r="18">
      <c r="A18" s="28">
        <f>Deals!$A5</f>
        <v/>
      </c>
      <c r="B18" s="28">
        <f>Deals!$B5</f>
        <v/>
      </c>
      <c r="C18" s="28">
        <f>Deals!$D5</f>
        <v/>
      </c>
      <c r="D18" s="28">
        <f>Deals!$I5</f>
        <v/>
      </c>
      <c r="E18" s="29" t="inlineStr">
        <is>
          <t>Platform fee</t>
        </is>
      </c>
      <c r="F18" s="29" t="n">
        <v>3</v>
      </c>
      <c r="G18" s="25">
        <f>Deals!$AC5</f>
        <v/>
      </c>
      <c r="H18" s="28">
        <f>Deals!$P5</f>
        <v/>
      </c>
      <c r="I18" s="28">
        <f>Deals!$M5</f>
        <v/>
      </c>
      <c r="J18" s="29">
        <f>Deals!$N5+2</f>
        <v/>
      </c>
      <c r="K18" s="29" t="n">
        <v>4</v>
      </c>
      <c r="L18" s="21">
        <f>IFERROR(G18/K18,0)</f>
        <v/>
      </c>
    </row>
    <row r="19">
      <c r="A19" s="28">
        <f>Deals!$A5</f>
        <v/>
      </c>
      <c r="B19" s="28">
        <f>Deals!$B5</f>
        <v/>
      </c>
      <c r="C19" s="28">
        <f>Deals!$D5</f>
        <v/>
      </c>
      <c r="D19" s="28">
        <f>Deals!$I5</f>
        <v/>
      </c>
      <c r="E19" s="29" t="inlineStr">
        <is>
          <t>Commissions (TA share)</t>
        </is>
      </c>
      <c r="F19" s="29" t="n">
        <v>3</v>
      </c>
      <c r="G19" s="25">
        <f>Deals!$AE5</f>
        <v/>
      </c>
      <c r="H19" s="29" t="inlineStr">
        <is>
          <t>Commission accrual quarterly arrears</t>
        </is>
      </c>
      <c r="I19" s="28">
        <f>Deals!$M5</f>
        <v/>
      </c>
      <c r="J19" s="29">
        <f>Deals!$N5+2</f>
        <v/>
      </c>
      <c r="K19" s="29" t="n">
        <v>4</v>
      </c>
      <c r="L19" s="21">
        <f>IFERROR(G19/K19,0)</f>
        <v/>
      </c>
    </row>
    <row r="20">
      <c r="A20" s="28">
        <f>Deals!$A6</f>
        <v/>
      </c>
      <c r="B20" s="28">
        <f>Deals!$B6</f>
        <v/>
      </c>
      <c r="C20" s="28">
        <f>Deals!$D6</f>
        <v/>
      </c>
      <c r="D20" s="28">
        <f>Deals!$I6</f>
        <v/>
      </c>
      <c r="E20" s="29" t="inlineStr">
        <is>
          <t>Platform fee</t>
        </is>
      </c>
      <c r="F20" s="29" t="n">
        <v>1</v>
      </c>
      <c r="G20" s="25">
        <f>Deals!$T6</f>
        <v/>
      </c>
      <c r="H20" s="28">
        <f>Deals!$P6</f>
        <v/>
      </c>
      <c r="I20" s="28">
        <f>Deals!$M6</f>
        <v/>
      </c>
      <c r="J20" s="29">
        <f>Deals!$N6+0</f>
        <v/>
      </c>
      <c r="K20" s="29" t="n">
        <v>4</v>
      </c>
      <c r="L20" s="21">
        <f>IFERROR(G20/K20,0)</f>
        <v/>
      </c>
    </row>
    <row r="21">
      <c r="A21" s="28">
        <f>Deals!$A6</f>
        <v/>
      </c>
      <c r="B21" s="28">
        <f>Deals!$B6</f>
        <v/>
      </c>
      <c r="C21" s="28">
        <f>Deals!$D6</f>
        <v/>
      </c>
      <c r="D21" s="28">
        <f>Deals!$I6</f>
        <v/>
      </c>
      <c r="E21" s="29" t="inlineStr">
        <is>
          <t>Exclusivity (net to TA)</t>
        </is>
      </c>
      <c r="F21" s="29" t="n">
        <v>1</v>
      </c>
      <c r="G21" s="25">
        <f>Deals!$U6</f>
        <v/>
      </c>
      <c r="H21" s="29" t="inlineStr">
        <is>
          <t>One-off at signing</t>
        </is>
      </c>
      <c r="I21" s="28">
        <f>Deals!$M6</f>
        <v/>
      </c>
      <c r="J21" s="29">
        <f>Deals!$N6+0</f>
        <v/>
      </c>
      <c r="K21" s="29" t="n">
        <v>1</v>
      </c>
      <c r="L21" s="21">
        <f>IFERROR(G21/K21,0)</f>
        <v/>
      </c>
    </row>
    <row r="22">
      <c r="A22" s="28">
        <f>Deals!$A6</f>
        <v/>
      </c>
      <c r="B22" s="28">
        <f>Deals!$B6</f>
        <v/>
      </c>
      <c r="C22" s="28">
        <f>Deals!$D6</f>
        <v/>
      </c>
      <c r="D22" s="28">
        <f>Deals!$I6</f>
        <v/>
      </c>
      <c r="E22" s="29" t="inlineStr">
        <is>
          <t>Commissions (TA share)</t>
        </is>
      </c>
      <c r="F22" s="29" t="n">
        <v>1</v>
      </c>
      <c r="G22" s="25">
        <f>Deals!$Z6</f>
        <v/>
      </c>
      <c r="H22" s="29" t="inlineStr">
        <is>
          <t>Commission accrual quarterly arrears</t>
        </is>
      </c>
      <c r="I22" s="28">
        <f>Deals!$M6</f>
        <v/>
      </c>
      <c r="J22" s="29">
        <f>Deals!$N6+0</f>
        <v/>
      </c>
      <c r="K22" s="29" t="n">
        <v>4</v>
      </c>
      <c r="L22" s="21">
        <f>IFERROR(G22/K22,0)</f>
        <v/>
      </c>
    </row>
    <row r="23">
      <c r="A23" s="28">
        <f>Deals!$A6</f>
        <v/>
      </c>
      <c r="B23" s="28">
        <f>Deals!$B6</f>
        <v/>
      </c>
      <c r="C23" s="28">
        <f>Deals!$D6</f>
        <v/>
      </c>
      <c r="D23" s="28">
        <f>Deals!$I6</f>
        <v/>
      </c>
      <c r="E23" s="29" t="inlineStr">
        <is>
          <t>Additional fees</t>
        </is>
      </c>
      <c r="F23" s="29" t="n">
        <v>1</v>
      </c>
      <c r="G23" s="25">
        <f>Deals!$AA6</f>
        <v/>
      </c>
      <c r="H23" s="29" t="inlineStr">
        <is>
          <t>One-off at signing</t>
        </is>
      </c>
      <c r="I23" s="28">
        <f>Deals!$M6</f>
        <v/>
      </c>
      <c r="J23" s="29">
        <f>Deals!$N6+0</f>
        <v/>
      </c>
      <c r="K23" s="29" t="n">
        <v>1</v>
      </c>
      <c r="L23" s="21">
        <f>IFERROR(G23/K23,0)</f>
        <v/>
      </c>
    </row>
    <row r="24">
      <c r="A24" s="28">
        <f>Deals!$A6</f>
        <v/>
      </c>
      <c r="B24" s="28">
        <f>Deals!$B6</f>
        <v/>
      </c>
      <c r="C24" s="28">
        <f>Deals!$D6</f>
        <v/>
      </c>
      <c r="D24" s="28">
        <f>Deals!$I6</f>
        <v/>
      </c>
      <c r="E24" s="29" t="inlineStr">
        <is>
          <t>Platform fee</t>
        </is>
      </c>
      <c r="F24" s="29" t="n">
        <v>2</v>
      </c>
      <c r="G24" s="25">
        <f>Deals!$AB6</f>
        <v/>
      </c>
      <c r="H24" s="28">
        <f>Deals!$P6</f>
        <v/>
      </c>
      <c r="I24" s="28">
        <f>Deals!$M6</f>
        <v/>
      </c>
      <c r="J24" s="29">
        <f>Deals!$N6+1</f>
        <v/>
      </c>
      <c r="K24" s="29" t="n">
        <v>4</v>
      </c>
      <c r="L24" s="21">
        <f>IFERROR(G24/K24,0)</f>
        <v/>
      </c>
    </row>
    <row r="25">
      <c r="A25" s="28">
        <f>Deals!$A6</f>
        <v/>
      </c>
      <c r="B25" s="28">
        <f>Deals!$B6</f>
        <v/>
      </c>
      <c r="C25" s="28">
        <f>Deals!$D6</f>
        <v/>
      </c>
      <c r="D25" s="28">
        <f>Deals!$I6</f>
        <v/>
      </c>
      <c r="E25" s="29" t="inlineStr">
        <is>
          <t>Commissions (TA share)</t>
        </is>
      </c>
      <c r="F25" s="29" t="n">
        <v>2</v>
      </c>
      <c r="G25" s="25">
        <f>Deals!$AD6</f>
        <v/>
      </c>
      <c r="H25" s="29" t="inlineStr">
        <is>
          <t>Commission accrual quarterly arrears</t>
        </is>
      </c>
      <c r="I25" s="28">
        <f>Deals!$M6</f>
        <v/>
      </c>
      <c r="J25" s="29">
        <f>Deals!$N6+1</f>
        <v/>
      </c>
      <c r="K25" s="29" t="n">
        <v>4</v>
      </c>
      <c r="L25" s="21">
        <f>IFERROR(G25/K25,0)</f>
        <v/>
      </c>
    </row>
    <row r="26">
      <c r="A26" s="28">
        <f>Deals!$A6</f>
        <v/>
      </c>
      <c r="B26" s="28">
        <f>Deals!$B6</f>
        <v/>
      </c>
      <c r="C26" s="28">
        <f>Deals!$D6</f>
        <v/>
      </c>
      <c r="D26" s="28">
        <f>Deals!$I6</f>
        <v/>
      </c>
      <c r="E26" s="29" t="inlineStr">
        <is>
          <t>Platform fee</t>
        </is>
      </c>
      <c r="F26" s="29" t="n">
        <v>3</v>
      </c>
      <c r="G26" s="25">
        <f>Deals!$AC6</f>
        <v/>
      </c>
      <c r="H26" s="28">
        <f>Deals!$P6</f>
        <v/>
      </c>
      <c r="I26" s="28">
        <f>Deals!$M6</f>
        <v/>
      </c>
      <c r="J26" s="29">
        <f>Deals!$N6+2</f>
        <v/>
      </c>
      <c r="K26" s="29" t="n">
        <v>4</v>
      </c>
      <c r="L26" s="21">
        <f>IFERROR(G26/K26,0)</f>
        <v/>
      </c>
    </row>
    <row r="27">
      <c r="A27" s="28">
        <f>Deals!$A6</f>
        <v/>
      </c>
      <c r="B27" s="28">
        <f>Deals!$B6</f>
        <v/>
      </c>
      <c r="C27" s="28">
        <f>Deals!$D6</f>
        <v/>
      </c>
      <c r="D27" s="28">
        <f>Deals!$I6</f>
        <v/>
      </c>
      <c r="E27" s="29" t="inlineStr">
        <is>
          <t>Commissions (TA share)</t>
        </is>
      </c>
      <c r="F27" s="29" t="n">
        <v>3</v>
      </c>
      <c r="G27" s="25">
        <f>Deals!$AE6</f>
        <v/>
      </c>
      <c r="H27" s="29" t="inlineStr">
        <is>
          <t>Commission accrual quarterly arrears</t>
        </is>
      </c>
      <c r="I27" s="28">
        <f>Deals!$M6</f>
        <v/>
      </c>
      <c r="J27" s="29">
        <f>Deals!$N6+2</f>
        <v/>
      </c>
      <c r="K27" s="29" t="n">
        <v>4</v>
      </c>
      <c r="L27" s="21">
        <f>IFERROR(G27/K27,0)</f>
        <v/>
      </c>
    </row>
    <row r="28">
      <c r="A28" s="28">
        <f>Deals!$A7</f>
        <v/>
      </c>
      <c r="B28" s="28">
        <f>Deals!$B7</f>
        <v/>
      </c>
      <c r="C28" s="28">
        <f>Deals!$D7</f>
        <v/>
      </c>
      <c r="D28" s="28">
        <f>Deals!$I7</f>
        <v/>
      </c>
      <c r="E28" s="29" t="inlineStr">
        <is>
          <t>Platform fee</t>
        </is>
      </c>
      <c r="F28" s="29" t="n">
        <v>1</v>
      </c>
      <c r="G28" s="25">
        <f>Deals!$T7</f>
        <v/>
      </c>
      <c r="H28" s="28">
        <f>Deals!$P7</f>
        <v/>
      </c>
      <c r="I28" s="28">
        <f>Deals!$M7</f>
        <v/>
      </c>
      <c r="J28" s="29">
        <f>Deals!$N7+0</f>
        <v/>
      </c>
      <c r="K28" s="29" t="n">
        <v>4</v>
      </c>
      <c r="L28" s="21">
        <f>IFERROR(G28/K28,0)</f>
        <v/>
      </c>
    </row>
    <row r="29">
      <c r="A29" s="28">
        <f>Deals!$A7</f>
        <v/>
      </c>
      <c r="B29" s="28">
        <f>Deals!$B7</f>
        <v/>
      </c>
      <c r="C29" s="28">
        <f>Deals!$D7</f>
        <v/>
      </c>
      <c r="D29" s="28">
        <f>Deals!$I7</f>
        <v/>
      </c>
      <c r="E29" s="29" t="inlineStr">
        <is>
          <t>Exclusivity (net to TA)</t>
        </is>
      </c>
      <c r="F29" s="29" t="n">
        <v>1</v>
      </c>
      <c r="G29" s="25">
        <f>Deals!$U7</f>
        <v/>
      </c>
      <c r="H29" s="29" t="inlineStr">
        <is>
          <t>One-off at signing</t>
        </is>
      </c>
      <c r="I29" s="28">
        <f>Deals!$M7</f>
        <v/>
      </c>
      <c r="J29" s="29">
        <f>Deals!$N7+0</f>
        <v/>
      </c>
      <c r="K29" s="29" t="n">
        <v>1</v>
      </c>
      <c r="L29" s="21">
        <f>IFERROR(G29/K29,0)</f>
        <v/>
      </c>
    </row>
    <row r="30">
      <c r="A30" s="28">
        <f>Deals!$A7</f>
        <v/>
      </c>
      <c r="B30" s="28">
        <f>Deals!$B7</f>
        <v/>
      </c>
      <c r="C30" s="28">
        <f>Deals!$D7</f>
        <v/>
      </c>
      <c r="D30" s="28">
        <f>Deals!$I7</f>
        <v/>
      </c>
      <c r="E30" s="29" t="inlineStr">
        <is>
          <t>Commissions (TA share)</t>
        </is>
      </c>
      <c r="F30" s="29" t="n">
        <v>1</v>
      </c>
      <c r="G30" s="25">
        <f>Deals!$Z7</f>
        <v/>
      </c>
      <c r="H30" s="29" t="inlineStr">
        <is>
          <t>Commission accrual quarterly arrears</t>
        </is>
      </c>
      <c r="I30" s="28">
        <f>Deals!$M7</f>
        <v/>
      </c>
      <c r="J30" s="29">
        <f>Deals!$N7+0</f>
        <v/>
      </c>
      <c r="K30" s="29" t="n">
        <v>4</v>
      </c>
      <c r="L30" s="21">
        <f>IFERROR(G30/K30,0)</f>
        <v/>
      </c>
    </row>
    <row r="31">
      <c r="A31" s="28">
        <f>Deals!$A7</f>
        <v/>
      </c>
      <c r="B31" s="28">
        <f>Deals!$B7</f>
        <v/>
      </c>
      <c r="C31" s="28">
        <f>Deals!$D7</f>
        <v/>
      </c>
      <c r="D31" s="28">
        <f>Deals!$I7</f>
        <v/>
      </c>
      <c r="E31" s="29" t="inlineStr">
        <is>
          <t>Additional fees</t>
        </is>
      </c>
      <c r="F31" s="29" t="n">
        <v>1</v>
      </c>
      <c r="G31" s="25">
        <f>Deals!$AA7</f>
        <v/>
      </c>
      <c r="H31" s="29" t="inlineStr">
        <is>
          <t>One-off at signing</t>
        </is>
      </c>
      <c r="I31" s="28">
        <f>Deals!$M7</f>
        <v/>
      </c>
      <c r="J31" s="29">
        <f>Deals!$N7+0</f>
        <v/>
      </c>
      <c r="K31" s="29" t="n">
        <v>1</v>
      </c>
      <c r="L31" s="21">
        <f>IFERROR(G31/K31,0)</f>
        <v/>
      </c>
    </row>
    <row r="32">
      <c r="A32" s="28">
        <f>Deals!$A7</f>
        <v/>
      </c>
      <c r="B32" s="28">
        <f>Deals!$B7</f>
        <v/>
      </c>
      <c r="C32" s="28">
        <f>Deals!$D7</f>
        <v/>
      </c>
      <c r="D32" s="28">
        <f>Deals!$I7</f>
        <v/>
      </c>
      <c r="E32" s="29" t="inlineStr">
        <is>
          <t>Platform fee</t>
        </is>
      </c>
      <c r="F32" s="29" t="n">
        <v>2</v>
      </c>
      <c r="G32" s="25">
        <f>Deals!$AB7</f>
        <v/>
      </c>
      <c r="H32" s="28">
        <f>Deals!$P7</f>
        <v/>
      </c>
      <c r="I32" s="28">
        <f>Deals!$M7</f>
        <v/>
      </c>
      <c r="J32" s="29">
        <f>Deals!$N7+1</f>
        <v/>
      </c>
      <c r="K32" s="29" t="n">
        <v>4</v>
      </c>
      <c r="L32" s="21">
        <f>IFERROR(G32/K32,0)</f>
        <v/>
      </c>
    </row>
    <row r="33">
      <c r="A33" s="28">
        <f>Deals!$A7</f>
        <v/>
      </c>
      <c r="B33" s="28">
        <f>Deals!$B7</f>
        <v/>
      </c>
      <c r="C33" s="28">
        <f>Deals!$D7</f>
        <v/>
      </c>
      <c r="D33" s="28">
        <f>Deals!$I7</f>
        <v/>
      </c>
      <c r="E33" s="29" t="inlineStr">
        <is>
          <t>Commissions (TA share)</t>
        </is>
      </c>
      <c r="F33" s="29" t="n">
        <v>2</v>
      </c>
      <c r="G33" s="25">
        <f>Deals!$AD7</f>
        <v/>
      </c>
      <c r="H33" s="29" t="inlineStr">
        <is>
          <t>Commission accrual quarterly arrears</t>
        </is>
      </c>
      <c r="I33" s="28">
        <f>Deals!$M7</f>
        <v/>
      </c>
      <c r="J33" s="29">
        <f>Deals!$N7+1</f>
        <v/>
      </c>
      <c r="K33" s="29" t="n">
        <v>4</v>
      </c>
      <c r="L33" s="21">
        <f>IFERROR(G33/K33,0)</f>
        <v/>
      </c>
    </row>
    <row r="34">
      <c r="A34" s="28">
        <f>Deals!$A7</f>
        <v/>
      </c>
      <c r="B34" s="28">
        <f>Deals!$B7</f>
        <v/>
      </c>
      <c r="C34" s="28">
        <f>Deals!$D7</f>
        <v/>
      </c>
      <c r="D34" s="28">
        <f>Deals!$I7</f>
        <v/>
      </c>
      <c r="E34" s="29" t="inlineStr">
        <is>
          <t>Platform fee</t>
        </is>
      </c>
      <c r="F34" s="29" t="n">
        <v>3</v>
      </c>
      <c r="G34" s="25">
        <f>Deals!$AC7</f>
        <v/>
      </c>
      <c r="H34" s="28">
        <f>Deals!$P7</f>
        <v/>
      </c>
      <c r="I34" s="28">
        <f>Deals!$M7</f>
        <v/>
      </c>
      <c r="J34" s="29">
        <f>Deals!$N7+2</f>
        <v/>
      </c>
      <c r="K34" s="29" t="n">
        <v>4</v>
      </c>
      <c r="L34" s="21">
        <f>IFERROR(G34/K34,0)</f>
        <v/>
      </c>
    </row>
    <row r="35">
      <c r="A35" s="28">
        <f>Deals!$A7</f>
        <v/>
      </c>
      <c r="B35" s="28">
        <f>Deals!$B7</f>
        <v/>
      </c>
      <c r="C35" s="28">
        <f>Deals!$D7</f>
        <v/>
      </c>
      <c r="D35" s="28">
        <f>Deals!$I7</f>
        <v/>
      </c>
      <c r="E35" s="29" t="inlineStr">
        <is>
          <t>Commissions (TA share)</t>
        </is>
      </c>
      <c r="F35" s="29" t="n">
        <v>3</v>
      </c>
      <c r="G35" s="25">
        <f>Deals!$AE7</f>
        <v/>
      </c>
      <c r="H35" s="29" t="inlineStr">
        <is>
          <t>Commission accrual quarterly arrears</t>
        </is>
      </c>
      <c r="I35" s="28">
        <f>Deals!$M7</f>
        <v/>
      </c>
      <c r="J35" s="29">
        <f>Deals!$N7+2</f>
        <v/>
      </c>
      <c r="K35" s="29" t="n">
        <v>4</v>
      </c>
      <c r="L35" s="21">
        <f>IFERROR(G35/K35,0)</f>
        <v/>
      </c>
    </row>
    <row r="36">
      <c r="A36" s="28">
        <f>Deals!$A8</f>
        <v/>
      </c>
      <c r="B36" s="28">
        <f>Deals!$B8</f>
        <v/>
      </c>
      <c r="C36" s="28">
        <f>Deals!$D8</f>
        <v/>
      </c>
      <c r="D36" s="28">
        <f>Deals!$I8</f>
        <v/>
      </c>
      <c r="E36" s="29" t="inlineStr">
        <is>
          <t>Platform fee</t>
        </is>
      </c>
      <c r="F36" s="29" t="n">
        <v>1</v>
      </c>
      <c r="G36" s="25">
        <f>Deals!$T8</f>
        <v/>
      </c>
      <c r="H36" s="28">
        <f>Deals!$P8</f>
        <v/>
      </c>
      <c r="I36" s="28">
        <f>Deals!$M8</f>
        <v/>
      </c>
      <c r="J36" s="29">
        <f>Deals!$N8+0</f>
        <v/>
      </c>
      <c r="K36" s="29" t="n">
        <v>4</v>
      </c>
      <c r="L36" s="21">
        <f>IFERROR(G36/K36,0)</f>
        <v/>
      </c>
    </row>
    <row r="37">
      <c r="A37" s="28">
        <f>Deals!$A8</f>
        <v/>
      </c>
      <c r="B37" s="28">
        <f>Deals!$B8</f>
        <v/>
      </c>
      <c r="C37" s="28">
        <f>Deals!$D8</f>
        <v/>
      </c>
      <c r="D37" s="28">
        <f>Deals!$I8</f>
        <v/>
      </c>
      <c r="E37" s="29" t="inlineStr">
        <is>
          <t>Exclusivity (net to TA)</t>
        </is>
      </c>
      <c r="F37" s="29" t="n">
        <v>1</v>
      </c>
      <c r="G37" s="25">
        <f>Deals!$U8</f>
        <v/>
      </c>
      <c r="H37" s="29" t="inlineStr">
        <is>
          <t>One-off at signing</t>
        </is>
      </c>
      <c r="I37" s="28">
        <f>Deals!$M8</f>
        <v/>
      </c>
      <c r="J37" s="29">
        <f>Deals!$N8+0</f>
        <v/>
      </c>
      <c r="K37" s="29" t="n">
        <v>1</v>
      </c>
      <c r="L37" s="21">
        <f>IFERROR(G37/K37,0)</f>
        <v/>
      </c>
    </row>
    <row r="38">
      <c r="A38" s="28">
        <f>Deals!$A8</f>
        <v/>
      </c>
      <c r="B38" s="28">
        <f>Deals!$B8</f>
        <v/>
      </c>
      <c r="C38" s="28">
        <f>Deals!$D8</f>
        <v/>
      </c>
      <c r="D38" s="28">
        <f>Deals!$I8</f>
        <v/>
      </c>
      <c r="E38" s="29" t="inlineStr">
        <is>
          <t>Commissions (TA share)</t>
        </is>
      </c>
      <c r="F38" s="29" t="n">
        <v>1</v>
      </c>
      <c r="G38" s="25">
        <f>Deals!$Z8</f>
        <v/>
      </c>
      <c r="H38" s="29" t="inlineStr">
        <is>
          <t>Commission accrual quarterly arrears</t>
        </is>
      </c>
      <c r="I38" s="28">
        <f>Deals!$M8</f>
        <v/>
      </c>
      <c r="J38" s="29">
        <f>Deals!$N8+0</f>
        <v/>
      </c>
      <c r="K38" s="29" t="n">
        <v>4</v>
      </c>
      <c r="L38" s="21">
        <f>IFERROR(G38/K38,0)</f>
        <v/>
      </c>
    </row>
    <row r="39">
      <c r="A39" s="28">
        <f>Deals!$A8</f>
        <v/>
      </c>
      <c r="B39" s="28">
        <f>Deals!$B8</f>
        <v/>
      </c>
      <c r="C39" s="28">
        <f>Deals!$D8</f>
        <v/>
      </c>
      <c r="D39" s="28">
        <f>Deals!$I8</f>
        <v/>
      </c>
      <c r="E39" s="29" t="inlineStr">
        <is>
          <t>Additional fees</t>
        </is>
      </c>
      <c r="F39" s="29" t="n">
        <v>1</v>
      </c>
      <c r="G39" s="25">
        <f>Deals!$AA8</f>
        <v/>
      </c>
      <c r="H39" s="29" t="inlineStr">
        <is>
          <t>One-off at signing</t>
        </is>
      </c>
      <c r="I39" s="28">
        <f>Deals!$M8</f>
        <v/>
      </c>
      <c r="J39" s="29">
        <f>Deals!$N8+0</f>
        <v/>
      </c>
      <c r="K39" s="29" t="n">
        <v>1</v>
      </c>
      <c r="L39" s="21">
        <f>IFERROR(G39/K39,0)</f>
        <v/>
      </c>
    </row>
    <row r="40">
      <c r="A40" s="28">
        <f>Deals!$A8</f>
        <v/>
      </c>
      <c r="B40" s="28">
        <f>Deals!$B8</f>
        <v/>
      </c>
      <c r="C40" s="28">
        <f>Deals!$D8</f>
        <v/>
      </c>
      <c r="D40" s="28">
        <f>Deals!$I8</f>
        <v/>
      </c>
      <c r="E40" s="29" t="inlineStr">
        <is>
          <t>Platform fee</t>
        </is>
      </c>
      <c r="F40" s="29" t="n">
        <v>2</v>
      </c>
      <c r="G40" s="25">
        <f>Deals!$AB8</f>
        <v/>
      </c>
      <c r="H40" s="28">
        <f>Deals!$P8</f>
        <v/>
      </c>
      <c r="I40" s="28">
        <f>Deals!$M8</f>
        <v/>
      </c>
      <c r="J40" s="29">
        <f>Deals!$N8+1</f>
        <v/>
      </c>
      <c r="K40" s="29" t="n">
        <v>4</v>
      </c>
      <c r="L40" s="21">
        <f>IFERROR(G40/K40,0)</f>
        <v/>
      </c>
    </row>
    <row r="41">
      <c r="A41" s="28">
        <f>Deals!$A8</f>
        <v/>
      </c>
      <c r="B41" s="28">
        <f>Deals!$B8</f>
        <v/>
      </c>
      <c r="C41" s="28">
        <f>Deals!$D8</f>
        <v/>
      </c>
      <c r="D41" s="28">
        <f>Deals!$I8</f>
        <v/>
      </c>
      <c r="E41" s="29" t="inlineStr">
        <is>
          <t>Commissions (TA share)</t>
        </is>
      </c>
      <c r="F41" s="29" t="n">
        <v>2</v>
      </c>
      <c r="G41" s="25">
        <f>Deals!$AD8</f>
        <v/>
      </c>
      <c r="H41" s="29" t="inlineStr">
        <is>
          <t>Commission accrual quarterly arrears</t>
        </is>
      </c>
      <c r="I41" s="28">
        <f>Deals!$M8</f>
        <v/>
      </c>
      <c r="J41" s="29">
        <f>Deals!$N8+1</f>
        <v/>
      </c>
      <c r="K41" s="29" t="n">
        <v>4</v>
      </c>
      <c r="L41" s="21">
        <f>IFERROR(G41/K41,0)</f>
        <v/>
      </c>
    </row>
    <row r="42">
      <c r="A42" s="28">
        <f>Deals!$A8</f>
        <v/>
      </c>
      <c r="B42" s="28">
        <f>Deals!$B8</f>
        <v/>
      </c>
      <c r="C42" s="28">
        <f>Deals!$D8</f>
        <v/>
      </c>
      <c r="D42" s="28">
        <f>Deals!$I8</f>
        <v/>
      </c>
      <c r="E42" s="29" t="inlineStr">
        <is>
          <t>Platform fee</t>
        </is>
      </c>
      <c r="F42" s="29" t="n">
        <v>3</v>
      </c>
      <c r="G42" s="25">
        <f>Deals!$AC8</f>
        <v/>
      </c>
      <c r="H42" s="28">
        <f>Deals!$P8</f>
        <v/>
      </c>
      <c r="I42" s="28">
        <f>Deals!$M8</f>
        <v/>
      </c>
      <c r="J42" s="29">
        <f>Deals!$N8+2</f>
        <v/>
      </c>
      <c r="K42" s="29" t="n">
        <v>4</v>
      </c>
      <c r="L42" s="21">
        <f>IFERROR(G42/K42,0)</f>
        <v/>
      </c>
    </row>
    <row r="43">
      <c r="A43" s="28">
        <f>Deals!$A8</f>
        <v/>
      </c>
      <c r="B43" s="28">
        <f>Deals!$B8</f>
        <v/>
      </c>
      <c r="C43" s="28">
        <f>Deals!$D8</f>
        <v/>
      </c>
      <c r="D43" s="28">
        <f>Deals!$I8</f>
        <v/>
      </c>
      <c r="E43" s="29" t="inlineStr">
        <is>
          <t>Commissions (TA share)</t>
        </is>
      </c>
      <c r="F43" s="29" t="n">
        <v>3</v>
      </c>
      <c r="G43" s="25">
        <f>Deals!$AE8</f>
        <v/>
      </c>
      <c r="H43" s="29" t="inlineStr">
        <is>
          <t>Commission accrual quarterly arrears</t>
        </is>
      </c>
      <c r="I43" s="28">
        <f>Deals!$M8</f>
        <v/>
      </c>
      <c r="J43" s="29">
        <f>Deals!$N8+2</f>
        <v/>
      </c>
      <c r="K43" s="29" t="n">
        <v>4</v>
      </c>
      <c r="L43" s="21">
        <f>IFERROR(G43/K43,0)</f>
        <v/>
      </c>
    </row>
    <row r="44">
      <c r="A44" s="28">
        <f>Deals!$A9</f>
        <v/>
      </c>
      <c r="B44" s="28">
        <f>Deals!$B9</f>
        <v/>
      </c>
      <c r="C44" s="28">
        <f>Deals!$D9</f>
        <v/>
      </c>
      <c r="D44" s="28">
        <f>Deals!$I9</f>
        <v/>
      </c>
      <c r="E44" s="29" t="inlineStr">
        <is>
          <t>Platform fee</t>
        </is>
      </c>
      <c r="F44" s="29" t="n">
        <v>1</v>
      </c>
      <c r="G44" s="25">
        <f>Deals!$T9</f>
        <v/>
      </c>
      <c r="H44" s="28">
        <f>Deals!$P9</f>
        <v/>
      </c>
      <c r="I44" s="28">
        <f>Deals!$M9</f>
        <v/>
      </c>
      <c r="J44" s="29">
        <f>Deals!$N9+0</f>
        <v/>
      </c>
      <c r="K44" s="29" t="n">
        <v>4</v>
      </c>
      <c r="L44" s="21">
        <f>IFERROR(G44/K44,0)</f>
        <v/>
      </c>
    </row>
    <row r="45">
      <c r="A45" s="28">
        <f>Deals!$A9</f>
        <v/>
      </c>
      <c r="B45" s="28">
        <f>Deals!$B9</f>
        <v/>
      </c>
      <c r="C45" s="28">
        <f>Deals!$D9</f>
        <v/>
      </c>
      <c r="D45" s="28">
        <f>Deals!$I9</f>
        <v/>
      </c>
      <c r="E45" s="29" t="inlineStr">
        <is>
          <t>Exclusivity (net to TA)</t>
        </is>
      </c>
      <c r="F45" s="29" t="n">
        <v>1</v>
      </c>
      <c r="G45" s="25">
        <f>Deals!$U9</f>
        <v/>
      </c>
      <c r="H45" s="29" t="inlineStr">
        <is>
          <t>One-off at signing</t>
        </is>
      </c>
      <c r="I45" s="28">
        <f>Deals!$M9</f>
        <v/>
      </c>
      <c r="J45" s="29">
        <f>Deals!$N9+0</f>
        <v/>
      </c>
      <c r="K45" s="29" t="n">
        <v>1</v>
      </c>
      <c r="L45" s="21">
        <f>IFERROR(G45/K45,0)</f>
        <v/>
      </c>
    </row>
    <row r="46">
      <c r="A46" s="28">
        <f>Deals!$A9</f>
        <v/>
      </c>
      <c r="B46" s="28">
        <f>Deals!$B9</f>
        <v/>
      </c>
      <c r="C46" s="28">
        <f>Deals!$D9</f>
        <v/>
      </c>
      <c r="D46" s="28">
        <f>Deals!$I9</f>
        <v/>
      </c>
      <c r="E46" s="29" t="inlineStr">
        <is>
          <t>Commissions (TA share)</t>
        </is>
      </c>
      <c r="F46" s="29" t="n">
        <v>1</v>
      </c>
      <c r="G46" s="25">
        <f>Deals!$Z9</f>
        <v/>
      </c>
      <c r="H46" s="29" t="inlineStr">
        <is>
          <t>Commission accrual quarterly arrears</t>
        </is>
      </c>
      <c r="I46" s="28">
        <f>Deals!$M9</f>
        <v/>
      </c>
      <c r="J46" s="29">
        <f>Deals!$N9+0</f>
        <v/>
      </c>
      <c r="K46" s="29" t="n">
        <v>4</v>
      </c>
      <c r="L46" s="21">
        <f>IFERROR(G46/K46,0)</f>
        <v/>
      </c>
    </row>
    <row r="47">
      <c r="A47" s="28">
        <f>Deals!$A9</f>
        <v/>
      </c>
      <c r="B47" s="28">
        <f>Deals!$B9</f>
        <v/>
      </c>
      <c r="C47" s="28">
        <f>Deals!$D9</f>
        <v/>
      </c>
      <c r="D47" s="28">
        <f>Deals!$I9</f>
        <v/>
      </c>
      <c r="E47" s="29" t="inlineStr">
        <is>
          <t>Additional fees</t>
        </is>
      </c>
      <c r="F47" s="29" t="n">
        <v>1</v>
      </c>
      <c r="G47" s="25">
        <f>Deals!$AA9</f>
        <v/>
      </c>
      <c r="H47" s="29" t="inlineStr">
        <is>
          <t>One-off at signing</t>
        </is>
      </c>
      <c r="I47" s="28">
        <f>Deals!$M9</f>
        <v/>
      </c>
      <c r="J47" s="29">
        <f>Deals!$N9+0</f>
        <v/>
      </c>
      <c r="K47" s="29" t="n">
        <v>1</v>
      </c>
      <c r="L47" s="21">
        <f>IFERROR(G47/K47,0)</f>
        <v/>
      </c>
    </row>
    <row r="48">
      <c r="A48" s="28">
        <f>Deals!$A9</f>
        <v/>
      </c>
      <c r="B48" s="28">
        <f>Deals!$B9</f>
        <v/>
      </c>
      <c r="C48" s="28">
        <f>Deals!$D9</f>
        <v/>
      </c>
      <c r="D48" s="28">
        <f>Deals!$I9</f>
        <v/>
      </c>
      <c r="E48" s="29" t="inlineStr">
        <is>
          <t>Platform fee</t>
        </is>
      </c>
      <c r="F48" s="29" t="n">
        <v>2</v>
      </c>
      <c r="G48" s="25">
        <f>Deals!$AB9</f>
        <v/>
      </c>
      <c r="H48" s="28">
        <f>Deals!$P9</f>
        <v/>
      </c>
      <c r="I48" s="28">
        <f>Deals!$M9</f>
        <v/>
      </c>
      <c r="J48" s="29">
        <f>Deals!$N9+1</f>
        <v/>
      </c>
      <c r="K48" s="29" t="n">
        <v>4</v>
      </c>
      <c r="L48" s="21">
        <f>IFERROR(G48/K48,0)</f>
        <v/>
      </c>
    </row>
    <row r="49">
      <c r="A49" s="28">
        <f>Deals!$A9</f>
        <v/>
      </c>
      <c r="B49" s="28">
        <f>Deals!$B9</f>
        <v/>
      </c>
      <c r="C49" s="28">
        <f>Deals!$D9</f>
        <v/>
      </c>
      <c r="D49" s="28">
        <f>Deals!$I9</f>
        <v/>
      </c>
      <c r="E49" s="29" t="inlineStr">
        <is>
          <t>Commissions (TA share)</t>
        </is>
      </c>
      <c r="F49" s="29" t="n">
        <v>2</v>
      </c>
      <c r="G49" s="25">
        <f>Deals!$AD9</f>
        <v/>
      </c>
      <c r="H49" s="29" t="inlineStr">
        <is>
          <t>Commission accrual quarterly arrears</t>
        </is>
      </c>
      <c r="I49" s="28">
        <f>Deals!$M9</f>
        <v/>
      </c>
      <c r="J49" s="29">
        <f>Deals!$N9+1</f>
        <v/>
      </c>
      <c r="K49" s="29" t="n">
        <v>4</v>
      </c>
      <c r="L49" s="21">
        <f>IFERROR(G49/K49,0)</f>
        <v/>
      </c>
    </row>
    <row r="50">
      <c r="A50" s="28">
        <f>Deals!$A9</f>
        <v/>
      </c>
      <c r="B50" s="28">
        <f>Deals!$B9</f>
        <v/>
      </c>
      <c r="C50" s="28">
        <f>Deals!$D9</f>
        <v/>
      </c>
      <c r="D50" s="28">
        <f>Deals!$I9</f>
        <v/>
      </c>
      <c r="E50" s="29" t="inlineStr">
        <is>
          <t>Platform fee</t>
        </is>
      </c>
      <c r="F50" s="29" t="n">
        <v>3</v>
      </c>
      <c r="G50" s="25">
        <f>Deals!$AC9</f>
        <v/>
      </c>
      <c r="H50" s="28">
        <f>Deals!$P9</f>
        <v/>
      </c>
      <c r="I50" s="28">
        <f>Deals!$M9</f>
        <v/>
      </c>
      <c r="J50" s="29">
        <f>Deals!$N9+2</f>
        <v/>
      </c>
      <c r="K50" s="29" t="n">
        <v>4</v>
      </c>
      <c r="L50" s="21">
        <f>IFERROR(G50/K50,0)</f>
        <v/>
      </c>
    </row>
    <row r="51">
      <c r="A51" s="28">
        <f>Deals!$A9</f>
        <v/>
      </c>
      <c r="B51" s="28">
        <f>Deals!$B9</f>
        <v/>
      </c>
      <c r="C51" s="28">
        <f>Deals!$D9</f>
        <v/>
      </c>
      <c r="D51" s="28">
        <f>Deals!$I9</f>
        <v/>
      </c>
      <c r="E51" s="29" t="inlineStr">
        <is>
          <t>Commissions (TA share)</t>
        </is>
      </c>
      <c r="F51" s="29" t="n">
        <v>3</v>
      </c>
      <c r="G51" s="25">
        <f>Deals!$AE9</f>
        <v/>
      </c>
      <c r="H51" s="29" t="inlineStr">
        <is>
          <t>Commission accrual quarterly arrears</t>
        </is>
      </c>
      <c r="I51" s="28">
        <f>Deals!$M9</f>
        <v/>
      </c>
      <c r="J51" s="29">
        <f>Deals!$N9+2</f>
        <v/>
      </c>
      <c r="K51" s="29" t="n">
        <v>4</v>
      </c>
      <c r="L51" s="21">
        <f>IFERROR(G51/K51,0)</f>
        <v/>
      </c>
    </row>
  </sheetData>
  <mergeCells count="1">
    <mergeCell ref="A2:L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V11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" customWidth="1" min="1" max="1"/>
    <col width="13" customWidth="1" min="2" max="2"/>
    <col width="11" customWidth="1" min="3" max="3"/>
    <col width="12" customWidth="1" min="4" max="4"/>
    <col width="11" customWidth="1" min="5" max="5"/>
    <col width="15" customWidth="1" min="6" max="6"/>
    <col width="14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22" customWidth="1" min="20" max="20"/>
    <col width="19" customWidth="1" min="21" max="21"/>
    <col width="22" customWidth="1" min="22" max="22"/>
  </cols>
  <sheetData>
    <row r="1">
      <c r="A1" s="1" t="inlineStr">
        <is>
          <t>Forecast — yr1 monthly (probability-weighted)</t>
        </is>
      </c>
    </row>
    <row r="2">
      <c r="A2" s="5" t="inlineStr">
        <is>
          <t>Yr1 monthly forecast</t>
        </is>
      </c>
    </row>
    <row r="3">
      <c r="A3" s="13" t="inlineStr">
        <is>
          <t>deal_id</t>
        </is>
      </c>
      <c r="B3" s="13" t="inlineStr">
        <is>
          <t>deal_name</t>
        </is>
      </c>
      <c r="C3" s="13" t="inlineStr">
        <is>
          <t>client</t>
        </is>
      </c>
      <c r="D3" s="13" t="inlineStr">
        <is>
          <t>scenario</t>
        </is>
      </c>
      <c r="E3" s="13" t="inlineStr">
        <is>
          <t>prob</t>
        </is>
      </c>
      <c r="F3" s="13" t="inlineStr">
        <is>
          <t>start_month</t>
        </is>
      </c>
      <c r="G3" s="13" t="inlineStr">
        <is>
          <t>start_year</t>
        </is>
      </c>
      <c r="H3" s="13" t="inlineStr">
        <is>
          <t>M1</t>
        </is>
      </c>
      <c r="I3" s="13" t="inlineStr">
        <is>
          <t>M2</t>
        </is>
      </c>
      <c r="J3" s="13" t="inlineStr">
        <is>
          <t>M3</t>
        </is>
      </c>
      <c r="K3" s="13" t="inlineStr">
        <is>
          <t>M4</t>
        </is>
      </c>
      <c r="L3" s="13" t="inlineStr">
        <is>
          <t>M5</t>
        </is>
      </c>
      <c r="M3" s="13" t="inlineStr">
        <is>
          <t>M6</t>
        </is>
      </c>
      <c r="N3" s="13" t="inlineStr">
        <is>
          <t>M7</t>
        </is>
      </c>
      <c r="O3" s="13" t="inlineStr">
        <is>
          <t>M8</t>
        </is>
      </c>
      <c r="P3" s="13" t="inlineStr">
        <is>
          <t>M9</t>
        </is>
      </c>
      <c r="Q3" s="13" t="inlineStr">
        <is>
          <t>M10</t>
        </is>
      </c>
      <c r="R3" s="13" t="inlineStr">
        <is>
          <t>M11</t>
        </is>
      </c>
      <c r="S3" s="13" t="inlineStr">
        <is>
          <t>M12</t>
        </is>
      </c>
      <c r="T3" s="13" t="inlineStr">
        <is>
          <t>Yr1 total (native)</t>
        </is>
      </c>
      <c r="U3" s="13" t="inlineStr">
        <is>
          <t>Yr1 total (AUD)</t>
        </is>
      </c>
      <c r="V3" s="13" t="inlineStr">
        <is>
          <t>Yr1 weighted (AUD)</t>
        </is>
      </c>
    </row>
    <row r="4">
      <c r="A4" s="30">
        <f>Deals!$A4</f>
        <v/>
      </c>
      <c r="B4" s="30">
        <f>Deals!$B4</f>
        <v/>
      </c>
      <c r="C4" s="30">
        <f>Deals!$D4</f>
        <v/>
      </c>
      <c r="D4" s="30">
        <f>Deals!$I4</f>
        <v/>
      </c>
      <c r="E4" s="31">
        <f>Deals!$AI4</f>
        <v/>
      </c>
      <c r="F4" s="30">
        <f>Deals!$M4</f>
        <v/>
      </c>
      <c r="G4" s="30">
        <f>Deals!$N4</f>
        <v/>
      </c>
      <c r="H4" s="32">
        <f>IFERROR((Deals!$T4*VLOOKUP(Deals!$P4,Parameters!$A$28:$M$35,2,FALSE)+Deals!$X4*VLOOKUP("One-off at signing",Parameters!$A$28:$M$35,2,FALSE)+Deals!$Z4*VLOOKUP("Quarterly in advance",Parameters!$A$28:$M$35,2,FALSE)+Deals!$AA4*VLOOKUP("One-off at signing",Parameters!$A$28:$M$35,2,FALSE)-Deals!$Y4*0),0)</f>
        <v/>
      </c>
      <c r="I4" s="32">
        <f>IFERROR((Deals!$T4*VLOOKUP(Deals!$P4,Parameters!$A$28:$M$35,3,FALSE)+Deals!$X4*VLOOKUP("One-off at signing",Parameters!$A$28:$M$35,3,FALSE)+Deals!$Z4*VLOOKUP("Quarterly in advance",Parameters!$A$28:$M$35,3,FALSE)+Deals!$AA4*VLOOKUP("One-off at signing",Parameters!$A$28:$M$35,3,FALSE)-Deals!$Y4*0),0)</f>
        <v/>
      </c>
      <c r="J4" s="32">
        <f>IFERROR((Deals!$T4*VLOOKUP(Deals!$P4,Parameters!$A$28:$M$35,4,FALSE)+Deals!$X4*VLOOKUP("One-off at signing",Parameters!$A$28:$M$35,4,FALSE)+Deals!$Z4*VLOOKUP("Quarterly in advance",Parameters!$A$28:$M$35,4,FALSE)+Deals!$AA4*VLOOKUP("One-off at signing",Parameters!$A$28:$M$35,4,FALSE)-Deals!$Y4*0),0)</f>
        <v/>
      </c>
      <c r="K4" s="32">
        <f>IFERROR((Deals!$T4*VLOOKUP(Deals!$P4,Parameters!$A$28:$M$35,5,FALSE)+Deals!$X4*VLOOKUP("One-off at signing",Parameters!$A$28:$M$35,5,FALSE)+Deals!$Z4*VLOOKUP("Quarterly in advance",Parameters!$A$28:$M$35,5,FALSE)+Deals!$AA4*VLOOKUP("One-off at signing",Parameters!$A$28:$M$35,5,FALSE)-Deals!$Y4*0),0)</f>
        <v/>
      </c>
      <c r="L4" s="32">
        <f>IFERROR((Deals!$T4*VLOOKUP(Deals!$P4,Parameters!$A$28:$M$35,6,FALSE)+Deals!$X4*VLOOKUP("One-off at signing",Parameters!$A$28:$M$35,6,FALSE)+Deals!$Z4*VLOOKUP("Quarterly in advance",Parameters!$A$28:$M$35,6,FALSE)+Deals!$AA4*VLOOKUP("One-off at signing",Parameters!$A$28:$M$35,6,FALSE)-Deals!$Y4*0),0)</f>
        <v/>
      </c>
      <c r="M4" s="32">
        <f>IFERROR((Deals!$T4*VLOOKUP(Deals!$P4,Parameters!$A$28:$M$35,7,FALSE)+Deals!$X4*VLOOKUP("One-off at signing",Parameters!$A$28:$M$35,7,FALSE)+Deals!$Z4*VLOOKUP("Quarterly in advance",Parameters!$A$28:$M$35,7,FALSE)+Deals!$AA4*VLOOKUP("One-off at signing",Parameters!$A$28:$M$35,7,FALSE)-Deals!$Y4*0),0)</f>
        <v/>
      </c>
      <c r="N4" s="32">
        <f>IFERROR((Deals!$T4*VLOOKUP(Deals!$P4,Parameters!$A$28:$M$35,8,FALSE)+Deals!$X4*VLOOKUP("One-off at signing",Parameters!$A$28:$M$35,8,FALSE)+Deals!$Z4*VLOOKUP("Quarterly in advance",Parameters!$A$28:$M$35,8,FALSE)+Deals!$AA4*VLOOKUP("One-off at signing",Parameters!$A$28:$M$35,8,FALSE)-Deals!$Y4*0),0)</f>
        <v/>
      </c>
      <c r="O4" s="32">
        <f>IFERROR((Deals!$T4*VLOOKUP(Deals!$P4,Parameters!$A$28:$M$35,9,FALSE)+Deals!$X4*VLOOKUP("One-off at signing",Parameters!$A$28:$M$35,9,FALSE)+Deals!$Z4*VLOOKUP("Quarterly in advance",Parameters!$A$28:$M$35,9,FALSE)+Deals!$AA4*VLOOKUP("One-off at signing",Parameters!$A$28:$M$35,9,FALSE)-Deals!$Y4*0),0)</f>
        <v/>
      </c>
      <c r="P4" s="32">
        <f>IFERROR((Deals!$T4*VLOOKUP(Deals!$P4,Parameters!$A$28:$M$35,10,FALSE)+Deals!$X4*VLOOKUP("One-off at signing",Parameters!$A$28:$M$35,10,FALSE)+Deals!$Z4*VLOOKUP("Quarterly in advance",Parameters!$A$28:$M$35,10,FALSE)+Deals!$AA4*VLOOKUP("One-off at signing",Parameters!$A$28:$M$35,10,FALSE)-Deals!$Y4*0),0)</f>
        <v/>
      </c>
      <c r="Q4" s="32">
        <f>IFERROR((Deals!$T4*VLOOKUP(Deals!$P4,Parameters!$A$28:$M$35,11,FALSE)+Deals!$X4*VLOOKUP("One-off at signing",Parameters!$A$28:$M$35,11,FALSE)+Deals!$Z4*VLOOKUP("Quarterly in advance",Parameters!$A$28:$M$35,11,FALSE)+Deals!$AA4*VLOOKUP("One-off at signing",Parameters!$A$28:$M$35,11,FALSE)-Deals!$Y4*1),0)</f>
        <v/>
      </c>
      <c r="R4" s="32">
        <f>IFERROR((Deals!$T4*VLOOKUP(Deals!$P4,Parameters!$A$28:$M$35,12,FALSE)+Deals!$X4*VLOOKUP("One-off at signing",Parameters!$A$28:$M$35,12,FALSE)+Deals!$Z4*VLOOKUP("Quarterly in advance",Parameters!$A$28:$M$35,12,FALSE)+Deals!$AA4*VLOOKUP("One-off at signing",Parameters!$A$28:$M$35,12,FALSE)-Deals!$Y4*0),0)</f>
        <v/>
      </c>
      <c r="S4" s="32">
        <f>IFERROR((Deals!$T4*VLOOKUP(Deals!$P4,Parameters!$A$28:$M$35,13,FALSE)+Deals!$X4*VLOOKUP("One-off at signing",Parameters!$A$28:$M$35,13,FALSE)+Deals!$Z4*VLOOKUP("Quarterly in advance",Parameters!$A$28:$M$35,13,FALSE)+Deals!$AA4*VLOOKUP("One-off at signing",Parameters!$A$28:$M$35,13,FALSE)-Deals!$Y4*0),0)</f>
        <v/>
      </c>
      <c r="T4" s="32">
        <f>SUM(H4:S4)</f>
        <v/>
      </c>
      <c r="U4" s="33">
        <f>T4*IFERROR(SUMIFS(Calculator!$E:$E,Calculator!$A:$A,Deals!$C4,Calculator!$C:$C,Deals!$I4),1)</f>
        <v/>
      </c>
      <c r="V4" s="34">
        <f>U4*Deals!$AI4</f>
        <v/>
      </c>
    </row>
    <row r="5">
      <c r="A5" s="30">
        <f>Deals!$A5</f>
        <v/>
      </c>
      <c r="B5" s="30">
        <f>Deals!$B5</f>
        <v/>
      </c>
      <c r="C5" s="30">
        <f>Deals!$D5</f>
        <v/>
      </c>
      <c r="D5" s="30">
        <f>Deals!$I5</f>
        <v/>
      </c>
      <c r="E5" s="31">
        <f>Deals!$AI5</f>
        <v/>
      </c>
      <c r="F5" s="30">
        <f>Deals!$M5</f>
        <v/>
      </c>
      <c r="G5" s="30">
        <f>Deals!$N5</f>
        <v/>
      </c>
      <c r="H5" s="32">
        <f>IFERROR((Deals!$T5*VLOOKUP(Deals!$P5,Parameters!$A$28:$M$35,2,FALSE)+Deals!$X5*VLOOKUP("One-off at signing",Parameters!$A$28:$M$35,2,FALSE)+Deals!$Z5*VLOOKUP("Quarterly in advance",Parameters!$A$28:$M$35,2,FALSE)+Deals!$AA5*VLOOKUP("One-off at signing",Parameters!$A$28:$M$35,2,FALSE)-Deals!$Y5*0),0)</f>
        <v/>
      </c>
      <c r="I5" s="32">
        <f>IFERROR((Deals!$T5*VLOOKUP(Deals!$P5,Parameters!$A$28:$M$35,3,FALSE)+Deals!$X5*VLOOKUP("One-off at signing",Parameters!$A$28:$M$35,3,FALSE)+Deals!$Z5*VLOOKUP("Quarterly in advance",Parameters!$A$28:$M$35,3,FALSE)+Deals!$AA5*VLOOKUP("One-off at signing",Parameters!$A$28:$M$35,3,FALSE)-Deals!$Y5*0),0)</f>
        <v/>
      </c>
      <c r="J5" s="32">
        <f>IFERROR((Deals!$T5*VLOOKUP(Deals!$P5,Parameters!$A$28:$M$35,4,FALSE)+Deals!$X5*VLOOKUP("One-off at signing",Parameters!$A$28:$M$35,4,FALSE)+Deals!$Z5*VLOOKUP("Quarterly in advance",Parameters!$A$28:$M$35,4,FALSE)+Deals!$AA5*VLOOKUP("One-off at signing",Parameters!$A$28:$M$35,4,FALSE)-Deals!$Y5*0),0)</f>
        <v/>
      </c>
      <c r="K5" s="32">
        <f>IFERROR((Deals!$T5*VLOOKUP(Deals!$P5,Parameters!$A$28:$M$35,5,FALSE)+Deals!$X5*VLOOKUP("One-off at signing",Parameters!$A$28:$M$35,5,FALSE)+Deals!$Z5*VLOOKUP("Quarterly in advance",Parameters!$A$28:$M$35,5,FALSE)+Deals!$AA5*VLOOKUP("One-off at signing",Parameters!$A$28:$M$35,5,FALSE)-Deals!$Y5*0),0)</f>
        <v/>
      </c>
      <c r="L5" s="32">
        <f>IFERROR((Deals!$T5*VLOOKUP(Deals!$P5,Parameters!$A$28:$M$35,6,FALSE)+Deals!$X5*VLOOKUP("One-off at signing",Parameters!$A$28:$M$35,6,FALSE)+Deals!$Z5*VLOOKUP("Quarterly in advance",Parameters!$A$28:$M$35,6,FALSE)+Deals!$AA5*VLOOKUP("One-off at signing",Parameters!$A$28:$M$35,6,FALSE)-Deals!$Y5*0),0)</f>
        <v/>
      </c>
      <c r="M5" s="32">
        <f>IFERROR((Deals!$T5*VLOOKUP(Deals!$P5,Parameters!$A$28:$M$35,7,FALSE)+Deals!$X5*VLOOKUP("One-off at signing",Parameters!$A$28:$M$35,7,FALSE)+Deals!$Z5*VLOOKUP("Quarterly in advance",Parameters!$A$28:$M$35,7,FALSE)+Deals!$AA5*VLOOKUP("One-off at signing",Parameters!$A$28:$M$35,7,FALSE)-Deals!$Y5*0),0)</f>
        <v/>
      </c>
      <c r="N5" s="32">
        <f>IFERROR((Deals!$T5*VLOOKUP(Deals!$P5,Parameters!$A$28:$M$35,8,FALSE)+Deals!$X5*VLOOKUP("One-off at signing",Parameters!$A$28:$M$35,8,FALSE)+Deals!$Z5*VLOOKUP("Quarterly in advance",Parameters!$A$28:$M$35,8,FALSE)+Deals!$AA5*VLOOKUP("One-off at signing",Parameters!$A$28:$M$35,8,FALSE)-Deals!$Y5*0),0)</f>
        <v/>
      </c>
      <c r="O5" s="32">
        <f>IFERROR((Deals!$T5*VLOOKUP(Deals!$P5,Parameters!$A$28:$M$35,9,FALSE)+Deals!$X5*VLOOKUP("One-off at signing",Parameters!$A$28:$M$35,9,FALSE)+Deals!$Z5*VLOOKUP("Quarterly in advance",Parameters!$A$28:$M$35,9,FALSE)+Deals!$AA5*VLOOKUP("One-off at signing",Parameters!$A$28:$M$35,9,FALSE)-Deals!$Y5*0),0)</f>
        <v/>
      </c>
      <c r="P5" s="32">
        <f>IFERROR((Deals!$T5*VLOOKUP(Deals!$P5,Parameters!$A$28:$M$35,10,FALSE)+Deals!$X5*VLOOKUP("One-off at signing",Parameters!$A$28:$M$35,10,FALSE)+Deals!$Z5*VLOOKUP("Quarterly in advance",Parameters!$A$28:$M$35,10,FALSE)+Deals!$AA5*VLOOKUP("One-off at signing",Parameters!$A$28:$M$35,10,FALSE)-Deals!$Y5*0),0)</f>
        <v/>
      </c>
      <c r="Q5" s="32">
        <f>IFERROR((Deals!$T5*VLOOKUP(Deals!$P5,Parameters!$A$28:$M$35,11,FALSE)+Deals!$X5*VLOOKUP("One-off at signing",Parameters!$A$28:$M$35,11,FALSE)+Deals!$Z5*VLOOKUP("Quarterly in advance",Parameters!$A$28:$M$35,11,FALSE)+Deals!$AA5*VLOOKUP("One-off at signing",Parameters!$A$28:$M$35,11,FALSE)-Deals!$Y5*1),0)</f>
        <v/>
      </c>
      <c r="R5" s="32">
        <f>IFERROR((Deals!$T5*VLOOKUP(Deals!$P5,Parameters!$A$28:$M$35,12,FALSE)+Deals!$X5*VLOOKUP("One-off at signing",Parameters!$A$28:$M$35,12,FALSE)+Deals!$Z5*VLOOKUP("Quarterly in advance",Parameters!$A$28:$M$35,12,FALSE)+Deals!$AA5*VLOOKUP("One-off at signing",Parameters!$A$28:$M$35,12,FALSE)-Deals!$Y5*0),0)</f>
        <v/>
      </c>
      <c r="S5" s="32">
        <f>IFERROR((Deals!$T5*VLOOKUP(Deals!$P5,Parameters!$A$28:$M$35,13,FALSE)+Deals!$X5*VLOOKUP("One-off at signing",Parameters!$A$28:$M$35,13,FALSE)+Deals!$Z5*VLOOKUP("Quarterly in advance",Parameters!$A$28:$M$35,13,FALSE)+Deals!$AA5*VLOOKUP("One-off at signing",Parameters!$A$28:$M$35,13,FALSE)-Deals!$Y5*0),0)</f>
        <v/>
      </c>
      <c r="T5" s="32">
        <f>SUM(H5:S5)</f>
        <v/>
      </c>
      <c r="U5" s="33">
        <f>T5*IFERROR(SUMIFS(Calculator!$E:$E,Calculator!$A:$A,Deals!$C5,Calculator!$C:$C,Deals!$I5),1)</f>
        <v/>
      </c>
      <c r="V5" s="34">
        <f>U5*Deals!$AI5</f>
        <v/>
      </c>
    </row>
    <row r="6">
      <c r="A6" s="30">
        <f>Deals!$A6</f>
        <v/>
      </c>
      <c r="B6" s="30">
        <f>Deals!$B6</f>
        <v/>
      </c>
      <c r="C6" s="30">
        <f>Deals!$D6</f>
        <v/>
      </c>
      <c r="D6" s="30">
        <f>Deals!$I6</f>
        <v/>
      </c>
      <c r="E6" s="31">
        <f>Deals!$AI6</f>
        <v/>
      </c>
      <c r="F6" s="30">
        <f>Deals!$M6</f>
        <v/>
      </c>
      <c r="G6" s="30">
        <f>Deals!$N6</f>
        <v/>
      </c>
      <c r="H6" s="32">
        <f>IFERROR((Deals!$T6*VLOOKUP(Deals!$P6,Parameters!$A$28:$M$35,2,FALSE)+Deals!$X6*VLOOKUP("One-off at signing",Parameters!$A$28:$M$35,2,FALSE)+Deals!$Z6*VLOOKUP("Quarterly in advance",Parameters!$A$28:$M$35,2,FALSE)+Deals!$AA6*VLOOKUP("One-off at signing",Parameters!$A$28:$M$35,2,FALSE)-Deals!$Y6*0),0)</f>
        <v/>
      </c>
      <c r="I6" s="32">
        <f>IFERROR((Deals!$T6*VLOOKUP(Deals!$P6,Parameters!$A$28:$M$35,3,FALSE)+Deals!$X6*VLOOKUP("One-off at signing",Parameters!$A$28:$M$35,3,FALSE)+Deals!$Z6*VLOOKUP("Quarterly in advance",Parameters!$A$28:$M$35,3,FALSE)+Deals!$AA6*VLOOKUP("One-off at signing",Parameters!$A$28:$M$35,3,FALSE)-Deals!$Y6*0),0)</f>
        <v/>
      </c>
      <c r="J6" s="32">
        <f>IFERROR((Deals!$T6*VLOOKUP(Deals!$P6,Parameters!$A$28:$M$35,4,FALSE)+Deals!$X6*VLOOKUP("One-off at signing",Parameters!$A$28:$M$35,4,FALSE)+Deals!$Z6*VLOOKUP("Quarterly in advance",Parameters!$A$28:$M$35,4,FALSE)+Deals!$AA6*VLOOKUP("One-off at signing",Parameters!$A$28:$M$35,4,FALSE)-Deals!$Y6*0),0)</f>
        <v/>
      </c>
      <c r="K6" s="32">
        <f>IFERROR((Deals!$T6*VLOOKUP(Deals!$P6,Parameters!$A$28:$M$35,5,FALSE)+Deals!$X6*VLOOKUP("One-off at signing",Parameters!$A$28:$M$35,5,FALSE)+Deals!$Z6*VLOOKUP("Quarterly in advance",Parameters!$A$28:$M$35,5,FALSE)+Deals!$AA6*VLOOKUP("One-off at signing",Parameters!$A$28:$M$35,5,FALSE)-Deals!$Y6*0),0)</f>
        <v/>
      </c>
      <c r="L6" s="32">
        <f>IFERROR((Deals!$T6*VLOOKUP(Deals!$P6,Parameters!$A$28:$M$35,6,FALSE)+Deals!$X6*VLOOKUP("One-off at signing",Parameters!$A$28:$M$35,6,FALSE)+Deals!$Z6*VLOOKUP("Quarterly in advance",Parameters!$A$28:$M$35,6,FALSE)+Deals!$AA6*VLOOKUP("One-off at signing",Parameters!$A$28:$M$35,6,FALSE)-Deals!$Y6*0),0)</f>
        <v/>
      </c>
      <c r="M6" s="32">
        <f>IFERROR((Deals!$T6*VLOOKUP(Deals!$P6,Parameters!$A$28:$M$35,7,FALSE)+Deals!$X6*VLOOKUP("One-off at signing",Parameters!$A$28:$M$35,7,FALSE)+Deals!$Z6*VLOOKUP("Quarterly in advance",Parameters!$A$28:$M$35,7,FALSE)+Deals!$AA6*VLOOKUP("One-off at signing",Parameters!$A$28:$M$35,7,FALSE)-Deals!$Y6*0),0)</f>
        <v/>
      </c>
      <c r="N6" s="32">
        <f>IFERROR((Deals!$T6*VLOOKUP(Deals!$P6,Parameters!$A$28:$M$35,8,FALSE)+Deals!$X6*VLOOKUP("One-off at signing",Parameters!$A$28:$M$35,8,FALSE)+Deals!$Z6*VLOOKUP("Quarterly in advance",Parameters!$A$28:$M$35,8,FALSE)+Deals!$AA6*VLOOKUP("One-off at signing",Parameters!$A$28:$M$35,8,FALSE)-Deals!$Y6*0),0)</f>
        <v/>
      </c>
      <c r="O6" s="32">
        <f>IFERROR((Deals!$T6*VLOOKUP(Deals!$P6,Parameters!$A$28:$M$35,9,FALSE)+Deals!$X6*VLOOKUP("One-off at signing",Parameters!$A$28:$M$35,9,FALSE)+Deals!$Z6*VLOOKUP("Quarterly in advance",Parameters!$A$28:$M$35,9,FALSE)+Deals!$AA6*VLOOKUP("One-off at signing",Parameters!$A$28:$M$35,9,FALSE)-Deals!$Y6*0),0)</f>
        <v/>
      </c>
      <c r="P6" s="32">
        <f>IFERROR((Deals!$T6*VLOOKUP(Deals!$P6,Parameters!$A$28:$M$35,10,FALSE)+Deals!$X6*VLOOKUP("One-off at signing",Parameters!$A$28:$M$35,10,FALSE)+Deals!$Z6*VLOOKUP("Quarterly in advance",Parameters!$A$28:$M$35,10,FALSE)+Deals!$AA6*VLOOKUP("One-off at signing",Parameters!$A$28:$M$35,10,FALSE)-Deals!$Y6*0),0)</f>
        <v/>
      </c>
      <c r="Q6" s="32">
        <f>IFERROR((Deals!$T6*VLOOKUP(Deals!$P6,Parameters!$A$28:$M$35,11,FALSE)+Deals!$X6*VLOOKUP("One-off at signing",Parameters!$A$28:$M$35,11,FALSE)+Deals!$Z6*VLOOKUP("Quarterly in advance",Parameters!$A$28:$M$35,11,FALSE)+Deals!$AA6*VLOOKUP("One-off at signing",Parameters!$A$28:$M$35,11,FALSE)-Deals!$Y6*1),0)</f>
        <v/>
      </c>
      <c r="R6" s="32">
        <f>IFERROR((Deals!$T6*VLOOKUP(Deals!$P6,Parameters!$A$28:$M$35,12,FALSE)+Deals!$X6*VLOOKUP("One-off at signing",Parameters!$A$28:$M$35,12,FALSE)+Deals!$Z6*VLOOKUP("Quarterly in advance",Parameters!$A$28:$M$35,12,FALSE)+Deals!$AA6*VLOOKUP("One-off at signing",Parameters!$A$28:$M$35,12,FALSE)-Deals!$Y6*0),0)</f>
        <v/>
      </c>
      <c r="S6" s="32">
        <f>IFERROR((Deals!$T6*VLOOKUP(Deals!$P6,Parameters!$A$28:$M$35,13,FALSE)+Deals!$X6*VLOOKUP("One-off at signing",Parameters!$A$28:$M$35,13,FALSE)+Deals!$Z6*VLOOKUP("Quarterly in advance",Parameters!$A$28:$M$35,13,FALSE)+Deals!$AA6*VLOOKUP("One-off at signing",Parameters!$A$28:$M$35,13,FALSE)-Deals!$Y6*0),0)</f>
        <v/>
      </c>
      <c r="T6" s="32">
        <f>SUM(H6:S6)</f>
        <v/>
      </c>
      <c r="U6" s="33">
        <f>T6*IFERROR(SUMIFS(Calculator!$E:$E,Calculator!$A:$A,Deals!$C6,Calculator!$C:$C,Deals!$I6),1)</f>
        <v/>
      </c>
      <c r="V6" s="34">
        <f>U6*Deals!$AI6</f>
        <v/>
      </c>
    </row>
    <row r="7">
      <c r="A7" s="30">
        <f>Deals!$A7</f>
        <v/>
      </c>
      <c r="B7" s="30">
        <f>Deals!$B7</f>
        <v/>
      </c>
      <c r="C7" s="30">
        <f>Deals!$D7</f>
        <v/>
      </c>
      <c r="D7" s="30">
        <f>Deals!$I7</f>
        <v/>
      </c>
      <c r="E7" s="31">
        <f>Deals!$AI7</f>
        <v/>
      </c>
      <c r="F7" s="30">
        <f>Deals!$M7</f>
        <v/>
      </c>
      <c r="G7" s="30">
        <f>Deals!$N7</f>
        <v/>
      </c>
      <c r="H7" s="32">
        <f>IFERROR((Deals!$T7*VLOOKUP(Deals!$P7,Parameters!$A$28:$M$35,2,FALSE)+Deals!$X7*VLOOKUP("One-off at signing",Parameters!$A$28:$M$35,2,FALSE)+Deals!$Z7*VLOOKUP("Quarterly in advance",Parameters!$A$28:$M$35,2,FALSE)+Deals!$AA7*VLOOKUP("One-off at signing",Parameters!$A$28:$M$35,2,FALSE)-Deals!$Y7*0),0)</f>
        <v/>
      </c>
      <c r="I7" s="32">
        <f>IFERROR((Deals!$T7*VLOOKUP(Deals!$P7,Parameters!$A$28:$M$35,3,FALSE)+Deals!$X7*VLOOKUP("One-off at signing",Parameters!$A$28:$M$35,3,FALSE)+Deals!$Z7*VLOOKUP("Quarterly in advance",Parameters!$A$28:$M$35,3,FALSE)+Deals!$AA7*VLOOKUP("One-off at signing",Parameters!$A$28:$M$35,3,FALSE)-Deals!$Y7*0),0)</f>
        <v/>
      </c>
      <c r="J7" s="32">
        <f>IFERROR((Deals!$T7*VLOOKUP(Deals!$P7,Parameters!$A$28:$M$35,4,FALSE)+Deals!$X7*VLOOKUP("One-off at signing",Parameters!$A$28:$M$35,4,FALSE)+Deals!$Z7*VLOOKUP("Quarterly in advance",Parameters!$A$28:$M$35,4,FALSE)+Deals!$AA7*VLOOKUP("One-off at signing",Parameters!$A$28:$M$35,4,FALSE)-Deals!$Y7*0),0)</f>
        <v/>
      </c>
      <c r="K7" s="32">
        <f>IFERROR((Deals!$T7*VLOOKUP(Deals!$P7,Parameters!$A$28:$M$35,5,FALSE)+Deals!$X7*VLOOKUP("One-off at signing",Parameters!$A$28:$M$35,5,FALSE)+Deals!$Z7*VLOOKUP("Quarterly in advance",Parameters!$A$28:$M$35,5,FALSE)+Deals!$AA7*VLOOKUP("One-off at signing",Parameters!$A$28:$M$35,5,FALSE)-Deals!$Y7*0),0)</f>
        <v/>
      </c>
      <c r="L7" s="32">
        <f>IFERROR((Deals!$T7*VLOOKUP(Deals!$P7,Parameters!$A$28:$M$35,6,FALSE)+Deals!$X7*VLOOKUP("One-off at signing",Parameters!$A$28:$M$35,6,FALSE)+Deals!$Z7*VLOOKUP("Quarterly in advance",Parameters!$A$28:$M$35,6,FALSE)+Deals!$AA7*VLOOKUP("One-off at signing",Parameters!$A$28:$M$35,6,FALSE)-Deals!$Y7*0),0)</f>
        <v/>
      </c>
      <c r="M7" s="32">
        <f>IFERROR((Deals!$T7*VLOOKUP(Deals!$P7,Parameters!$A$28:$M$35,7,FALSE)+Deals!$X7*VLOOKUP("One-off at signing",Parameters!$A$28:$M$35,7,FALSE)+Deals!$Z7*VLOOKUP("Quarterly in advance",Parameters!$A$28:$M$35,7,FALSE)+Deals!$AA7*VLOOKUP("One-off at signing",Parameters!$A$28:$M$35,7,FALSE)-Deals!$Y7*0),0)</f>
        <v/>
      </c>
      <c r="N7" s="32">
        <f>IFERROR((Deals!$T7*VLOOKUP(Deals!$P7,Parameters!$A$28:$M$35,8,FALSE)+Deals!$X7*VLOOKUP("One-off at signing",Parameters!$A$28:$M$35,8,FALSE)+Deals!$Z7*VLOOKUP("Quarterly in advance",Parameters!$A$28:$M$35,8,FALSE)+Deals!$AA7*VLOOKUP("One-off at signing",Parameters!$A$28:$M$35,8,FALSE)-Deals!$Y7*0),0)</f>
        <v/>
      </c>
      <c r="O7" s="32">
        <f>IFERROR((Deals!$T7*VLOOKUP(Deals!$P7,Parameters!$A$28:$M$35,9,FALSE)+Deals!$X7*VLOOKUP("One-off at signing",Parameters!$A$28:$M$35,9,FALSE)+Deals!$Z7*VLOOKUP("Quarterly in advance",Parameters!$A$28:$M$35,9,FALSE)+Deals!$AA7*VLOOKUP("One-off at signing",Parameters!$A$28:$M$35,9,FALSE)-Deals!$Y7*0),0)</f>
        <v/>
      </c>
      <c r="P7" s="32">
        <f>IFERROR((Deals!$T7*VLOOKUP(Deals!$P7,Parameters!$A$28:$M$35,10,FALSE)+Deals!$X7*VLOOKUP("One-off at signing",Parameters!$A$28:$M$35,10,FALSE)+Deals!$Z7*VLOOKUP("Quarterly in advance",Parameters!$A$28:$M$35,10,FALSE)+Deals!$AA7*VLOOKUP("One-off at signing",Parameters!$A$28:$M$35,10,FALSE)-Deals!$Y7*0),0)</f>
        <v/>
      </c>
      <c r="Q7" s="32">
        <f>IFERROR((Deals!$T7*VLOOKUP(Deals!$P7,Parameters!$A$28:$M$35,11,FALSE)+Deals!$X7*VLOOKUP("One-off at signing",Parameters!$A$28:$M$35,11,FALSE)+Deals!$Z7*VLOOKUP("Quarterly in advance",Parameters!$A$28:$M$35,11,FALSE)+Deals!$AA7*VLOOKUP("One-off at signing",Parameters!$A$28:$M$35,11,FALSE)-Deals!$Y7*1),0)</f>
        <v/>
      </c>
      <c r="R7" s="32">
        <f>IFERROR((Deals!$T7*VLOOKUP(Deals!$P7,Parameters!$A$28:$M$35,12,FALSE)+Deals!$X7*VLOOKUP("One-off at signing",Parameters!$A$28:$M$35,12,FALSE)+Deals!$Z7*VLOOKUP("Quarterly in advance",Parameters!$A$28:$M$35,12,FALSE)+Deals!$AA7*VLOOKUP("One-off at signing",Parameters!$A$28:$M$35,12,FALSE)-Deals!$Y7*0),0)</f>
        <v/>
      </c>
      <c r="S7" s="32">
        <f>IFERROR((Deals!$T7*VLOOKUP(Deals!$P7,Parameters!$A$28:$M$35,13,FALSE)+Deals!$X7*VLOOKUP("One-off at signing",Parameters!$A$28:$M$35,13,FALSE)+Deals!$Z7*VLOOKUP("Quarterly in advance",Parameters!$A$28:$M$35,13,FALSE)+Deals!$AA7*VLOOKUP("One-off at signing",Parameters!$A$28:$M$35,13,FALSE)-Deals!$Y7*0),0)</f>
        <v/>
      </c>
      <c r="T7" s="32">
        <f>SUM(H7:S7)</f>
        <v/>
      </c>
      <c r="U7" s="33">
        <f>T7*IFERROR(SUMIFS(Calculator!$E:$E,Calculator!$A:$A,Deals!$C7,Calculator!$C:$C,Deals!$I7),1)</f>
        <v/>
      </c>
      <c r="V7" s="34">
        <f>U7*Deals!$AI7</f>
        <v/>
      </c>
    </row>
    <row r="8">
      <c r="A8" s="30">
        <f>Deals!$A8</f>
        <v/>
      </c>
      <c r="B8" s="30">
        <f>Deals!$B8</f>
        <v/>
      </c>
      <c r="C8" s="30">
        <f>Deals!$D8</f>
        <v/>
      </c>
      <c r="D8" s="30">
        <f>Deals!$I8</f>
        <v/>
      </c>
      <c r="E8" s="31">
        <f>Deals!$AI8</f>
        <v/>
      </c>
      <c r="F8" s="30">
        <f>Deals!$M8</f>
        <v/>
      </c>
      <c r="G8" s="30">
        <f>Deals!$N8</f>
        <v/>
      </c>
      <c r="H8" s="32">
        <f>IFERROR((Deals!$T8*VLOOKUP(Deals!$P8,Parameters!$A$28:$M$35,2,FALSE)+Deals!$X8*VLOOKUP("One-off at signing",Parameters!$A$28:$M$35,2,FALSE)+Deals!$Z8*VLOOKUP("Quarterly in advance",Parameters!$A$28:$M$35,2,FALSE)+Deals!$AA8*VLOOKUP("One-off at signing",Parameters!$A$28:$M$35,2,FALSE)-Deals!$Y8*0),0)</f>
        <v/>
      </c>
      <c r="I8" s="32">
        <f>IFERROR((Deals!$T8*VLOOKUP(Deals!$P8,Parameters!$A$28:$M$35,3,FALSE)+Deals!$X8*VLOOKUP("One-off at signing",Parameters!$A$28:$M$35,3,FALSE)+Deals!$Z8*VLOOKUP("Quarterly in advance",Parameters!$A$28:$M$35,3,FALSE)+Deals!$AA8*VLOOKUP("One-off at signing",Parameters!$A$28:$M$35,3,FALSE)-Deals!$Y8*0),0)</f>
        <v/>
      </c>
      <c r="J8" s="32">
        <f>IFERROR((Deals!$T8*VLOOKUP(Deals!$P8,Parameters!$A$28:$M$35,4,FALSE)+Deals!$X8*VLOOKUP("One-off at signing",Parameters!$A$28:$M$35,4,FALSE)+Deals!$Z8*VLOOKUP("Quarterly in advance",Parameters!$A$28:$M$35,4,FALSE)+Deals!$AA8*VLOOKUP("One-off at signing",Parameters!$A$28:$M$35,4,FALSE)-Deals!$Y8*0),0)</f>
        <v/>
      </c>
      <c r="K8" s="32">
        <f>IFERROR((Deals!$T8*VLOOKUP(Deals!$P8,Parameters!$A$28:$M$35,5,FALSE)+Deals!$X8*VLOOKUP("One-off at signing",Parameters!$A$28:$M$35,5,FALSE)+Deals!$Z8*VLOOKUP("Quarterly in advance",Parameters!$A$28:$M$35,5,FALSE)+Deals!$AA8*VLOOKUP("One-off at signing",Parameters!$A$28:$M$35,5,FALSE)-Deals!$Y8*0),0)</f>
        <v/>
      </c>
      <c r="L8" s="32">
        <f>IFERROR((Deals!$T8*VLOOKUP(Deals!$P8,Parameters!$A$28:$M$35,6,FALSE)+Deals!$X8*VLOOKUP("One-off at signing",Parameters!$A$28:$M$35,6,FALSE)+Deals!$Z8*VLOOKUP("Quarterly in advance",Parameters!$A$28:$M$35,6,FALSE)+Deals!$AA8*VLOOKUP("One-off at signing",Parameters!$A$28:$M$35,6,FALSE)-Deals!$Y8*0),0)</f>
        <v/>
      </c>
      <c r="M8" s="32">
        <f>IFERROR((Deals!$T8*VLOOKUP(Deals!$P8,Parameters!$A$28:$M$35,7,FALSE)+Deals!$X8*VLOOKUP("One-off at signing",Parameters!$A$28:$M$35,7,FALSE)+Deals!$Z8*VLOOKUP("Quarterly in advance",Parameters!$A$28:$M$35,7,FALSE)+Deals!$AA8*VLOOKUP("One-off at signing",Parameters!$A$28:$M$35,7,FALSE)-Deals!$Y8*0),0)</f>
        <v/>
      </c>
      <c r="N8" s="32">
        <f>IFERROR((Deals!$T8*VLOOKUP(Deals!$P8,Parameters!$A$28:$M$35,8,FALSE)+Deals!$X8*VLOOKUP("One-off at signing",Parameters!$A$28:$M$35,8,FALSE)+Deals!$Z8*VLOOKUP("Quarterly in advance",Parameters!$A$28:$M$35,8,FALSE)+Deals!$AA8*VLOOKUP("One-off at signing",Parameters!$A$28:$M$35,8,FALSE)-Deals!$Y8*0),0)</f>
        <v/>
      </c>
      <c r="O8" s="32">
        <f>IFERROR((Deals!$T8*VLOOKUP(Deals!$P8,Parameters!$A$28:$M$35,9,FALSE)+Deals!$X8*VLOOKUP("One-off at signing",Parameters!$A$28:$M$35,9,FALSE)+Deals!$Z8*VLOOKUP("Quarterly in advance",Parameters!$A$28:$M$35,9,FALSE)+Deals!$AA8*VLOOKUP("One-off at signing",Parameters!$A$28:$M$35,9,FALSE)-Deals!$Y8*0),0)</f>
        <v/>
      </c>
      <c r="P8" s="32">
        <f>IFERROR((Deals!$T8*VLOOKUP(Deals!$P8,Parameters!$A$28:$M$35,10,FALSE)+Deals!$X8*VLOOKUP("One-off at signing",Parameters!$A$28:$M$35,10,FALSE)+Deals!$Z8*VLOOKUP("Quarterly in advance",Parameters!$A$28:$M$35,10,FALSE)+Deals!$AA8*VLOOKUP("One-off at signing",Parameters!$A$28:$M$35,10,FALSE)-Deals!$Y8*0),0)</f>
        <v/>
      </c>
      <c r="Q8" s="32">
        <f>IFERROR((Deals!$T8*VLOOKUP(Deals!$P8,Parameters!$A$28:$M$35,11,FALSE)+Deals!$X8*VLOOKUP("One-off at signing",Parameters!$A$28:$M$35,11,FALSE)+Deals!$Z8*VLOOKUP("Quarterly in advance",Parameters!$A$28:$M$35,11,FALSE)+Deals!$AA8*VLOOKUP("One-off at signing",Parameters!$A$28:$M$35,11,FALSE)-Deals!$Y8*1),0)</f>
        <v/>
      </c>
      <c r="R8" s="32">
        <f>IFERROR((Deals!$T8*VLOOKUP(Deals!$P8,Parameters!$A$28:$M$35,12,FALSE)+Deals!$X8*VLOOKUP("One-off at signing",Parameters!$A$28:$M$35,12,FALSE)+Deals!$Z8*VLOOKUP("Quarterly in advance",Parameters!$A$28:$M$35,12,FALSE)+Deals!$AA8*VLOOKUP("One-off at signing",Parameters!$A$28:$M$35,12,FALSE)-Deals!$Y8*0),0)</f>
        <v/>
      </c>
      <c r="S8" s="32">
        <f>IFERROR((Deals!$T8*VLOOKUP(Deals!$P8,Parameters!$A$28:$M$35,13,FALSE)+Deals!$X8*VLOOKUP("One-off at signing",Parameters!$A$28:$M$35,13,FALSE)+Deals!$Z8*VLOOKUP("Quarterly in advance",Parameters!$A$28:$M$35,13,FALSE)+Deals!$AA8*VLOOKUP("One-off at signing",Parameters!$A$28:$M$35,13,FALSE)-Deals!$Y8*0),0)</f>
        <v/>
      </c>
      <c r="T8" s="32">
        <f>SUM(H8:S8)</f>
        <v/>
      </c>
      <c r="U8" s="33">
        <f>T8*IFERROR(SUMIFS(Calculator!$E:$E,Calculator!$A:$A,Deals!$C8,Calculator!$C:$C,Deals!$I8),1)</f>
        <v/>
      </c>
      <c r="V8" s="34">
        <f>U8*Deals!$AI8</f>
        <v/>
      </c>
    </row>
    <row r="9">
      <c r="A9" s="30">
        <f>Deals!$A9</f>
        <v/>
      </c>
      <c r="B9" s="30">
        <f>Deals!$B9</f>
        <v/>
      </c>
      <c r="C9" s="30">
        <f>Deals!$D9</f>
        <v/>
      </c>
      <c r="D9" s="30">
        <f>Deals!$I9</f>
        <v/>
      </c>
      <c r="E9" s="31">
        <f>Deals!$AI9</f>
        <v/>
      </c>
      <c r="F9" s="30">
        <f>Deals!$M9</f>
        <v/>
      </c>
      <c r="G9" s="30">
        <f>Deals!$N9</f>
        <v/>
      </c>
      <c r="H9" s="32">
        <f>IFERROR((Deals!$T9*VLOOKUP(Deals!$P9,Parameters!$A$28:$M$35,2,FALSE)+Deals!$X9*VLOOKUP("One-off at signing",Parameters!$A$28:$M$35,2,FALSE)+Deals!$Z9*VLOOKUP("Quarterly in advance",Parameters!$A$28:$M$35,2,FALSE)+Deals!$AA9*VLOOKUP("One-off at signing",Parameters!$A$28:$M$35,2,FALSE)-Deals!$Y9*0),0)</f>
        <v/>
      </c>
      <c r="I9" s="32">
        <f>IFERROR((Deals!$T9*VLOOKUP(Deals!$P9,Parameters!$A$28:$M$35,3,FALSE)+Deals!$X9*VLOOKUP("One-off at signing",Parameters!$A$28:$M$35,3,FALSE)+Deals!$Z9*VLOOKUP("Quarterly in advance",Parameters!$A$28:$M$35,3,FALSE)+Deals!$AA9*VLOOKUP("One-off at signing",Parameters!$A$28:$M$35,3,FALSE)-Deals!$Y9*0),0)</f>
        <v/>
      </c>
      <c r="J9" s="32">
        <f>IFERROR((Deals!$T9*VLOOKUP(Deals!$P9,Parameters!$A$28:$M$35,4,FALSE)+Deals!$X9*VLOOKUP("One-off at signing",Parameters!$A$28:$M$35,4,FALSE)+Deals!$Z9*VLOOKUP("Quarterly in advance",Parameters!$A$28:$M$35,4,FALSE)+Deals!$AA9*VLOOKUP("One-off at signing",Parameters!$A$28:$M$35,4,FALSE)-Deals!$Y9*0),0)</f>
        <v/>
      </c>
      <c r="K9" s="32">
        <f>IFERROR((Deals!$T9*VLOOKUP(Deals!$P9,Parameters!$A$28:$M$35,5,FALSE)+Deals!$X9*VLOOKUP("One-off at signing",Parameters!$A$28:$M$35,5,FALSE)+Deals!$Z9*VLOOKUP("Quarterly in advance",Parameters!$A$28:$M$35,5,FALSE)+Deals!$AA9*VLOOKUP("One-off at signing",Parameters!$A$28:$M$35,5,FALSE)-Deals!$Y9*0),0)</f>
        <v/>
      </c>
      <c r="L9" s="32">
        <f>IFERROR((Deals!$T9*VLOOKUP(Deals!$P9,Parameters!$A$28:$M$35,6,FALSE)+Deals!$X9*VLOOKUP("One-off at signing",Parameters!$A$28:$M$35,6,FALSE)+Deals!$Z9*VLOOKUP("Quarterly in advance",Parameters!$A$28:$M$35,6,FALSE)+Deals!$AA9*VLOOKUP("One-off at signing",Parameters!$A$28:$M$35,6,FALSE)-Deals!$Y9*0),0)</f>
        <v/>
      </c>
      <c r="M9" s="32">
        <f>IFERROR((Deals!$T9*VLOOKUP(Deals!$P9,Parameters!$A$28:$M$35,7,FALSE)+Deals!$X9*VLOOKUP("One-off at signing",Parameters!$A$28:$M$35,7,FALSE)+Deals!$Z9*VLOOKUP("Quarterly in advance",Parameters!$A$28:$M$35,7,FALSE)+Deals!$AA9*VLOOKUP("One-off at signing",Parameters!$A$28:$M$35,7,FALSE)-Deals!$Y9*0),0)</f>
        <v/>
      </c>
      <c r="N9" s="32">
        <f>IFERROR((Deals!$T9*VLOOKUP(Deals!$P9,Parameters!$A$28:$M$35,8,FALSE)+Deals!$X9*VLOOKUP("One-off at signing",Parameters!$A$28:$M$35,8,FALSE)+Deals!$Z9*VLOOKUP("Quarterly in advance",Parameters!$A$28:$M$35,8,FALSE)+Deals!$AA9*VLOOKUP("One-off at signing",Parameters!$A$28:$M$35,8,FALSE)-Deals!$Y9*0),0)</f>
        <v/>
      </c>
      <c r="O9" s="32">
        <f>IFERROR((Deals!$T9*VLOOKUP(Deals!$P9,Parameters!$A$28:$M$35,9,FALSE)+Deals!$X9*VLOOKUP("One-off at signing",Parameters!$A$28:$M$35,9,FALSE)+Deals!$Z9*VLOOKUP("Quarterly in advance",Parameters!$A$28:$M$35,9,FALSE)+Deals!$AA9*VLOOKUP("One-off at signing",Parameters!$A$28:$M$35,9,FALSE)-Deals!$Y9*0),0)</f>
        <v/>
      </c>
      <c r="P9" s="32">
        <f>IFERROR((Deals!$T9*VLOOKUP(Deals!$P9,Parameters!$A$28:$M$35,10,FALSE)+Deals!$X9*VLOOKUP("One-off at signing",Parameters!$A$28:$M$35,10,FALSE)+Deals!$Z9*VLOOKUP("Quarterly in advance",Parameters!$A$28:$M$35,10,FALSE)+Deals!$AA9*VLOOKUP("One-off at signing",Parameters!$A$28:$M$35,10,FALSE)-Deals!$Y9*0),0)</f>
        <v/>
      </c>
      <c r="Q9" s="32">
        <f>IFERROR((Deals!$T9*VLOOKUP(Deals!$P9,Parameters!$A$28:$M$35,11,FALSE)+Deals!$X9*VLOOKUP("One-off at signing",Parameters!$A$28:$M$35,11,FALSE)+Deals!$Z9*VLOOKUP("Quarterly in advance",Parameters!$A$28:$M$35,11,FALSE)+Deals!$AA9*VLOOKUP("One-off at signing",Parameters!$A$28:$M$35,11,FALSE)-Deals!$Y9*1),0)</f>
        <v/>
      </c>
      <c r="R9" s="32">
        <f>IFERROR((Deals!$T9*VLOOKUP(Deals!$P9,Parameters!$A$28:$M$35,12,FALSE)+Deals!$X9*VLOOKUP("One-off at signing",Parameters!$A$28:$M$35,12,FALSE)+Deals!$Z9*VLOOKUP("Quarterly in advance",Parameters!$A$28:$M$35,12,FALSE)+Deals!$AA9*VLOOKUP("One-off at signing",Parameters!$A$28:$M$35,12,FALSE)-Deals!$Y9*0),0)</f>
        <v/>
      </c>
      <c r="S9" s="32">
        <f>IFERROR((Deals!$T9*VLOOKUP(Deals!$P9,Parameters!$A$28:$M$35,13,FALSE)+Deals!$X9*VLOOKUP("One-off at signing",Parameters!$A$28:$M$35,13,FALSE)+Deals!$Z9*VLOOKUP("Quarterly in advance",Parameters!$A$28:$M$35,13,FALSE)+Deals!$AA9*VLOOKUP("One-off at signing",Parameters!$A$28:$M$35,13,FALSE)-Deals!$Y9*0),0)</f>
        <v/>
      </c>
      <c r="T9" s="32">
        <f>SUM(H9:S9)</f>
        <v/>
      </c>
      <c r="U9" s="33">
        <f>T9*IFERROR(SUMIFS(Calculator!$E:$E,Calculator!$A:$A,Deals!$C9,Calculator!$C:$C,Deals!$I9),1)</f>
        <v/>
      </c>
      <c r="V9" s="34">
        <f>U9*Deals!$AI9</f>
        <v/>
      </c>
    </row>
    <row r="11">
      <c r="A11" s="3" t="inlineStr">
        <is>
          <t>TOTAL</t>
        </is>
      </c>
      <c r="H11" s="35">
        <f>SUM(H4:H10)</f>
        <v/>
      </c>
      <c r="I11" s="35">
        <f>SUM(I4:I10)</f>
        <v/>
      </c>
      <c r="J11" s="35">
        <f>SUM(J4:J10)</f>
        <v/>
      </c>
      <c r="K11" s="35">
        <f>SUM(K4:K10)</f>
        <v/>
      </c>
      <c r="L11" s="35">
        <f>SUM(L4:L10)</f>
        <v/>
      </c>
      <c r="M11" s="35">
        <f>SUM(M4:M10)</f>
        <v/>
      </c>
      <c r="N11" s="35">
        <f>SUM(N4:N10)</f>
        <v/>
      </c>
      <c r="O11" s="35">
        <f>SUM(O4:O10)</f>
        <v/>
      </c>
      <c r="P11" s="35">
        <f>SUM(P4:P10)</f>
        <v/>
      </c>
      <c r="Q11" s="35">
        <f>SUM(Q4:Q10)</f>
        <v/>
      </c>
      <c r="R11" s="35">
        <f>SUM(R4:R10)</f>
        <v/>
      </c>
      <c r="S11" s="35">
        <f>SUM(S4:S10)</f>
        <v/>
      </c>
      <c r="T11" s="35">
        <f>SUM(T4:T10)</f>
        <v/>
      </c>
      <c r="U11" s="36">
        <f>SUM(U4:U10)</f>
        <v/>
      </c>
      <c r="V11" s="36">
        <f>SUM(V4:V10)</f>
        <v/>
      </c>
    </row>
  </sheetData>
  <mergeCells count="1">
    <mergeCell ref="A2:V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U11"/>
  <sheetViews>
    <sheetView workbookViewId="0">
      <pane xSplit="5" ySplit="3" topLeftCell="F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" customWidth="1" min="1" max="1"/>
    <col width="13" customWidth="1" min="2" max="2"/>
    <col width="11" customWidth="1" min="3" max="3"/>
    <col width="12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3" customWidth="1" min="14" max="14"/>
    <col width="13" customWidth="1" min="15" max="15"/>
    <col width="17" customWidth="1" min="16" max="16"/>
    <col width="13" customWidth="1" min="17" max="17"/>
    <col width="13" customWidth="1" min="18" max="18"/>
    <col width="17" customWidth="1" min="19" max="19"/>
    <col width="18" customWidth="1" min="20" max="20"/>
    <col width="18" customWidth="1" min="21" max="21"/>
  </cols>
  <sheetData>
    <row r="1">
      <c r="A1" s="1" t="inlineStr">
        <is>
          <t>Forecast — yr2/yr3 quarterly (probability-weighted)</t>
        </is>
      </c>
    </row>
    <row r="2">
      <c r="A2" s="5" t="inlineStr">
        <is>
          <t>Yr2 + Yr3 quarterly forecast</t>
        </is>
      </c>
    </row>
    <row r="3">
      <c r="A3" s="13" t="inlineStr">
        <is>
          <t>deal_id</t>
        </is>
      </c>
      <c r="B3" s="13" t="inlineStr">
        <is>
          <t>deal_name</t>
        </is>
      </c>
      <c r="C3" s="13" t="inlineStr">
        <is>
          <t>client</t>
        </is>
      </c>
      <c r="D3" s="13" t="inlineStr">
        <is>
          <t>scenario</t>
        </is>
      </c>
      <c r="E3" s="13" t="inlineStr">
        <is>
          <t>prob</t>
        </is>
      </c>
      <c r="F3" s="13" t="inlineStr">
        <is>
          <t>Y2Q1</t>
        </is>
      </c>
      <c r="G3" s="13" t="inlineStr">
        <is>
          <t>Y2Q2</t>
        </is>
      </c>
      <c r="H3" s="13" t="inlineStr">
        <is>
          <t>Y2Q3</t>
        </is>
      </c>
      <c r="I3" s="13" t="inlineStr">
        <is>
          <t>Y2Q4</t>
        </is>
      </c>
      <c r="J3" s="13" t="inlineStr">
        <is>
          <t>Y3Q1</t>
        </is>
      </c>
      <c r="K3" s="13" t="inlineStr">
        <is>
          <t>Y3Q2</t>
        </is>
      </c>
      <c r="L3" s="13" t="inlineStr">
        <is>
          <t>Y3Q3</t>
        </is>
      </c>
      <c r="M3" s="13" t="inlineStr">
        <is>
          <t>Y3Q4</t>
        </is>
      </c>
      <c r="N3" s="13" t="inlineStr">
        <is>
          <t>Yr2 total</t>
        </is>
      </c>
      <c r="O3" s="13" t="inlineStr">
        <is>
          <t>Yr3 total</t>
        </is>
      </c>
      <c r="P3" s="13" t="inlineStr">
        <is>
          <t>Yr2+Yr3 total</t>
        </is>
      </c>
      <c r="Q3" s="13" t="inlineStr">
        <is>
          <t>Yr2 (AUD)</t>
        </is>
      </c>
      <c r="R3" s="13" t="inlineStr">
        <is>
          <t>Yr3 (AUD)</t>
        </is>
      </c>
      <c r="S3" s="13" t="inlineStr">
        <is>
          <t>Yr2+Yr3 (AUD)</t>
        </is>
      </c>
      <c r="T3" s="13" t="inlineStr">
        <is>
          <t>Yr2 wgtd (AUD)</t>
        </is>
      </c>
      <c r="U3" s="13" t="inlineStr">
        <is>
          <t>Yr3 wgtd (AUD)</t>
        </is>
      </c>
    </row>
    <row r="4">
      <c r="A4" s="30">
        <f>Deals!$A4</f>
        <v/>
      </c>
      <c r="B4" s="30">
        <f>Deals!$B4</f>
        <v/>
      </c>
      <c r="C4" s="30">
        <f>Deals!$D4</f>
        <v/>
      </c>
      <c r="D4" s="30">
        <f>Deals!$I4</f>
        <v/>
      </c>
      <c r="E4" s="31">
        <f>Deals!$AI4</f>
        <v/>
      </c>
      <c r="F4" s="32">
        <f>(Deals!$AB4/4+Deals!$AD4/4+Deals!$V4)</f>
        <v/>
      </c>
      <c r="G4" s="32">
        <f>(Deals!$AB4/4+Deals!$AD4/4)</f>
        <v/>
      </c>
      <c r="H4" s="32">
        <f>(Deals!$AB4/4+Deals!$AD4/4)</f>
        <v/>
      </c>
      <c r="I4" s="32">
        <f>(Deals!$AB4/4+Deals!$AD4/4)</f>
        <v/>
      </c>
      <c r="J4" s="32">
        <f>(Deals!$AC4/4+Deals!$AE4/4+Deals!$W4)</f>
        <v/>
      </c>
      <c r="K4" s="32">
        <f>(Deals!$AC4/4+Deals!$AE4/4)</f>
        <v/>
      </c>
      <c r="L4" s="32">
        <f>(Deals!$AC4/4+Deals!$AE4/4)</f>
        <v/>
      </c>
      <c r="M4" s="32">
        <f>(Deals!$AC4/4+Deals!$AE4/4)</f>
        <v/>
      </c>
      <c r="N4" s="32">
        <f>SUM(F4:I4)</f>
        <v/>
      </c>
      <c r="O4" s="32">
        <f>SUM(J4:M4)</f>
        <v/>
      </c>
      <c r="P4" s="32">
        <f>N4+O4</f>
        <v/>
      </c>
      <c r="Q4" s="33">
        <f>N4*IFERROR(SUMIFS(Calculator!$E:$E,Calculator!$A:$A,Deals!$C4,Calculator!$C:$C,Deals!$I4),1)</f>
        <v/>
      </c>
      <c r="R4" s="33">
        <f>O4*IFERROR(SUMIFS(Calculator!$E:$E,Calculator!$A:$A,Deals!$C4,Calculator!$C:$C,Deals!$I4),1)</f>
        <v/>
      </c>
      <c r="S4" s="33">
        <f>Q4+R4</f>
        <v/>
      </c>
      <c r="T4" s="34">
        <f>Q4*Deals!$AI4</f>
        <v/>
      </c>
      <c r="U4" s="34">
        <f>R4*Deals!$AI4</f>
        <v/>
      </c>
    </row>
    <row r="5">
      <c r="A5" s="30">
        <f>Deals!$A5</f>
        <v/>
      </c>
      <c r="B5" s="30">
        <f>Deals!$B5</f>
        <v/>
      </c>
      <c r="C5" s="30">
        <f>Deals!$D5</f>
        <v/>
      </c>
      <c r="D5" s="30">
        <f>Deals!$I5</f>
        <v/>
      </c>
      <c r="E5" s="31">
        <f>Deals!$AI5</f>
        <v/>
      </c>
      <c r="F5" s="32">
        <f>(Deals!$AB5/4+Deals!$AD5/4+Deals!$V5)</f>
        <v/>
      </c>
      <c r="G5" s="32">
        <f>(Deals!$AB5/4+Deals!$AD5/4)</f>
        <v/>
      </c>
      <c r="H5" s="32">
        <f>(Deals!$AB5/4+Deals!$AD5/4)</f>
        <v/>
      </c>
      <c r="I5" s="32">
        <f>(Deals!$AB5/4+Deals!$AD5/4)</f>
        <v/>
      </c>
      <c r="J5" s="32">
        <f>(Deals!$AC5/4+Deals!$AE5/4+Deals!$W5)</f>
        <v/>
      </c>
      <c r="K5" s="32">
        <f>(Deals!$AC5/4+Deals!$AE5/4)</f>
        <v/>
      </c>
      <c r="L5" s="32">
        <f>(Deals!$AC5/4+Deals!$AE5/4)</f>
        <v/>
      </c>
      <c r="M5" s="32">
        <f>(Deals!$AC5/4+Deals!$AE5/4)</f>
        <v/>
      </c>
      <c r="N5" s="32">
        <f>SUM(F5:I5)</f>
        <v/>
      </c>
      <c r="O5" s="32">
        <f>SUM(J5:M5)</f>
        <v/>
      </c>
      <c r="P5" s="32">
        <f>N5+O5</f>
        <v/>
      </c>
      <c r="Q5" s="33">
        <f>N5*IFERROR(SUMIFS(Calculator!$E:$E,Calculator!$A:$A,Deals!$C5,Calculator!$C:$C,Deals!$I5),1)</f>
        <v/>
      </c>
      <c r="R5" s="33">
        <f>O5*IFERROR(SUMIFS(Calculator!$E:$E,Calculator!$A:$A,Deals!$C5,Calculator!$C:$C,Deals!$I5),1)</f>
        <v/>
      </c>
      <c r="S5" s="33">
        <f>Q5+R5</f>
        <v/>
      </c>
      <c r="T5" s="34">
        <f>Q5*Deals!$AI5</f>
        <v/>
      </c>
      <c r="U5" s="34">
        <f>R5*Deals!$AI5</f>
        <v/>
      </c>
    </row>
    <row r="6">
      <c r="A6" s="30">
        <f>Deals!$A6</f>
        <v/>
      </c>
      <c r="B6" s="30">
        <f>Deals!$B6</f>
        <v/>
      </c>
      <c r="C6" s="30">
        <f>Deals!$D6</f>
        <v/>
      </c>
      <c r="D6" s="30">
        <f>Deals!$I6</f>
        <v/>
      </c>
      <c r="E6" s="31">
        <f>Deals!$AI6</f>
        <v/>
      </c>
      <c r="F6" s="32">
        <f>(Deals!$AB6/4+Deals!$AD6/4+Deals!$V6)</f>
        <v/>
      </c>
      <c r="G6" s="32">
        <f>(Deals!$AB6/4+Deals!$AD6/4)</f>
        <v/>
      </c>
      <c r="H6" s="32">
        <f>(Deals!$AB6/4+Deals!$AD6/4)</f>
        <v/>
      </c>
      <c r="I6" s="32">
        <f>(Deals!$AB6/4+Deals!$AD6/4)</f>
        <v/>
      </c>
      <c r="J6" s="32">
        <f>(Deals!$AC6/4+Deals!$AE6/4+Deals!$W6)</f>
        <v/>
      </c>
      <c r="K6" s="32">
        <f>(Deals!$AC6/4+Deals!$AE6/4)</f>
        <v/>
      </c>
      <c r="L6" s="32">
        <f>(Deals!$AC6/4+Deals!$AE6/4)</f>
        <v/>
      </c>
      <c r="M6" s="32">
        <f>(Deals!$AC6/4+Deals!$AE6/4)</f>
        <v/>
      </c>
      <c r="N6" s="32">
        <f>SUM(F6:I6)</f>
        <v/>
      </c>
      <c r="O6" s="32">
        <f>SUM(J6:M6)</f>
        <v/>
      </c>
      <c r="P6" s="32">
        <f>N6+O6</f>
        <v/>
      </c>
      <c r="Q6" s="33">
        <f>N6*IFERROR(SUMIFS(Calculator!$E:$E,Calculator!$A:$A,Deals!$C6,Calculator!$C:$C,Deals!$I6),1)</f>
        <v/>
      </c>
      <c r="R6" s="33">
        <f>O6*IFERROR(SUMIFS(Calculator!$E:$E,Calculator!$A:$A,Deals!$C6,Calculator!$C:$C,Deals!$I6),1)</f>
        <v/>
      </c>
      <c r="S6" s="33">
        <f>Q6+R6</f>
        <v/>
      </c>
      <c r="T6" s="34">
        <f>Q6*Deals!$AI6</f>
        <v/>
      </c>
      <c r="U6" s="34">
        <f>R6*Deals!$AI6</f>
        <v/>
      </c>
    </row>
    <row r="7">
      <c r="A7" s="30">
        <f>Deals!$A7</f>
        <v/>
      </c>
      <c r="B7" s="30">
        <f>Deals!$B7</f>
        <v/>
      </c>
      <c r="C7" s="30">
        <f>Deals!$D7</f>
        <v/>
      </c>
      <c r="D7" s="30">
        <f>Deals!$I7</f>
        <v/>
      </c>
      <c r="E7" s="31">
        <f>Deals!$AI7</f>
        <v/>
      </c>
      <c r="F7" s="32">
        <f>(Deals!$AB7/4+Deals!$AD7/4+Deals!$V7)</f>
        <v/>
      </c>
      <c r="G7" s="32">
        <f>(Deals!$AB7/4+Deals!$AD7/4)</f>
        <v/>
      </c>
      <c r="H7" s="32">
        <f>(Deals!$AB7/4+Deals!$AD7/4)</f>
        <v/>
      </c>
      <c r="I7" s="32">
        <f>(Deals!$AB7/4+Deals!$AD7/4)</f>
        <v/>
      </c>
      <c r="J7" s="32">
        <f>(Deals!$AC7/4+Deals!$AE7/4+Deals!$W7)</f>
        <v/>
      </c>
      <c r="K7" s="32">
        <f>(Deals!$AC7/4+Deals!$AE7/4)</f>
        <v/>
      </c>
      <c r="L7" s="32">
        <f>(Deals!$AC7/4+Deals!$AE7/4)</f>
        <v/>
      </c>
      <c r="M7" s="32">
        <f>(Deals!$AC7/4+Deals!$AE7/4)</f>
        <v/>
      </c>
      <c r="N7" s="32">
        <f>SUM(F7:I7)</f>
        <v/>
      </c>
      <c r="O7" s="32">
        <f>SUM(J7:M7)</f>
        <v/>
      </c>
      <c r="P7" s="32">
        <f>N7+O7</f>
        <v/>
      </c>
      <c r="Q7" s="33">
        <f>N7*IFERROR(SUMIFS(Calculator!$E:$E,Calculator!$A:$A,Deals!$C7,Calculator!$C:$C,Deals!$I7),1)</f>
        <v/>
      </c>
      <c r="R7" s="33">
        <f>O7*IFERROR(SUMIFS(Calculator!$E:$E,Calculator!$A:$A,Deals!$C7,Calculator!$C:$C,Deals!$I7),1)</f>
        <v/>
      </c>
      <c r="S7" s="33">
        <f>Q7+R7</f>
        <v/>
      </c>
      <c r="T7" s="34">
        <f>Q7*Deals!$AI7</f>
        <v/>
      </c>
      <c r="U7" s="34">
        <f>R7*Deals!$AI7</f>
        <v/>
      </c>
    </row>
    <row r="8">
      <c r="A8" s="30">
        <f>Deals!$A8</f>
        <v/>
      </c>
      <c r="B8" s="30">
        <f>Deals!$B8</f>
        <v/>
      </c>
      <c r="C8" s="30">
        <f>Deals!$D8</f>
        <v/>
      </c>
      <c r="D8" s="30">
        <f>Deals!$I8</f>
        <v/>
      </c>
      <c r="E8" s="31">
        <f>Deals!$AI8</f>
        <v/>
      </c>
      <c r="F8" s="32">
        <f>(Deals!$AB8/4+Deals!$AD8/4+Deals!$V8)</f>
        <v/>
      </c>
      <c r="G8" s="32">
        <f>(Deals!$AB8/4+Deals!$AD8/4)</f>
        <v/>
      </c>
      <c r="H8" s="32">
        <f>(Deals!$AB8/4+Deals!$AD8/4)</f>
        <v/>
      </c>
      <c r="I8" s="32">
        <f>(Deals!$AB8/4+Deals!$AD8/4)</f>
        <v/>
      </c>
      <c r="J8" s="32">
        <f>(Deals!$AC8/4+Deals!$AE8/4+Deals!$W8)</f>
        <v/>
      </c>
      <c r="K8" s="32">
        <f>(Deals!$AC8/4+Deals!$AE8/4)</f>
        <v/>
      </c>
      <c r="L8" s="32">
        <f>(Deals!$AC8/4+Deals!$AE8/4)</f>
        <v/>
      </c>
      <c r="M8" s="32">
        <f>(Deals!$AC8/4+Deals!$AE8/4)</f>
        <v/>
      </c>
      <c r="N8" s="32">
        <f>SUM(F8:I8)</f>
        <v/>
      </c>
      <c r="O8" s="32">
        <f>SUM(J8:M8)</f>
        <v/>
      </c>
      <c r="P8" s="32">
        <f>N8+O8</f>
        <v/>
      </c>
      <c r="Q8" s="33">
        <f>N8*IFERROR(SUMIFS(Calculator!$E:$E,Calculator!$A:$A,Deals!$C8,Calculator!$C:$C,Deals!$I8),1)</f>
        <v/>
      </c>
      <c r="R8" s="33">
        <f>O8*IFERROR(SUMIFS(Calculator!$E:$E,Calculator!$A:$A,Deals!$C8,Calculator!$C:$C,Deals!$I8),1)</f>
        <v/>
      </c>
      <c r="S8" s="33">
        <f>Q8+R8</f>
        <v/>
      </c>
      <c r="T8" s="34">
        <f>Q8*Deals!$AI8</f>
        <v/>
      </c>
      <c r="U8" s="34">
        <f>R8*Deals!$AI8</f>
        <v/>
      </c>
    </row>
    <row r="9">
      <c r="A9" s="30">
        <f>Deals!$A9</f>
        <v/>
      </c>
      <c r="B9" s="30">
        <f>Deals!$B9</f>
        <v/>
      </c>
      <c r="C9" s="30">
        <f>Deals!$D9</f>
        <v/>
      </c>
      <c r="D9" s="30">
        <f>Deals!$I9</f>
        <v/>
      </c>
      <c r="E9" s="31">
        <f>Deals!$AI9</f>
        <v/>
      </c>
      <c r="F9" s="32">
        <f>(Deals!$AB9/4+Deals!$AD9/4+Deals!$V9)</f>
        <v/>
      </c>
      <c r="G9" s="32">
        <f>(Deals!$AB9/4+Deals!$AD9/4)</f>
        <v/>
      </c>
      <c r="H9" s="32">
        <f>(Deals!$AB9/4+Deals!$AD9/4)</f>
        <v/>
      </c>
      <c r="I9" s="32">
        <f>(Deals!$AB9/4+Deals!$AD9/4)</f>
        <v/>
      </c>
      <c r="J9" s="32">
        <f>(Deals!$AC9/4+Deals!$AE9/4+Deals!$W9)</f>
        <v/>
      </c>
      <c r="K9" s="32">
        <f>(Deals!$AC9/4+Deals!$AE9/4)</f>
        <v/>
      </c>
      <c r="L9" s="32">
        <f>(Deals!$AC9/4+Deals!$AE9/4)</f>
        <v/>
      </c>
      <c r="M9" s="32">
        <f>(Deals!$AC9/4+Deals!$AE9/4)</f>
        <v/>
      </c>
      <c r="N9" s="32">
        <f>SUM(F9:I9)</f>
        <v/>
      </c>
      <c r="O9" s="32">
        <f>SUM(J9:M9)</f>
        <v/>
      </c>
      <c r="P9" s="32">
        <f>N9+O9</f>
        <v/>
      </c>
      <c r="Q9" s="33">
        <f>N9*IFERROR(SUMIFS(Calculator!$E:$E,Calculator!$A:$A,Deals!$C9,Calculator!$C:$C,Deals!$I9),1)</f>
        <v/>
      </c>
      <c r="R9" s="33">
        <f>O9*IFERROR(SUMIFS(Calculator!$E:$E,Calculator!$A:$A,Deals!$C9,Calculator!$C:$C,Deals!$I9),1)</f>
        <v/>
      </c>
      <c r="S9" s="33">
        <f>Q9+R9</f>
        <v/>
      </c>
      <c r="T9" s="34">
        <f>Q9*Deals!$AI9</f>
        <v/>
      </c>
      <c r="U9" s="34">
        <f>R9*Deals!$AI9</f>
        <v/>
      </c>
    </row>
    <row r="11">
      <c r="A11" s="3" t="inlineStr">
        <is>
          <t>TOTAL</t>
        </is>
      </c>
      <c r="F11" s="35">
        <f>SUM(F4:F10)</f>
        <v/>
      </c>
      <c r="G11" s="35">
        <f>SUM(G4:G10)</f>
        <v/>
      </c>
      <c r="H11" s="35">
        <f>SUM(H4:H10)</f>
        <v/>
      </c>
      <c r="I11" s="35">
        <f>SUM(I4:I10)</f>
        <v/>
      </c>
      <c r="J11" s="35">
        <f>SUM(J4:J10)</f>
        <v/>
      </c>
      <c r="K11" s="35">
        <f>SUM(K4:K10)</f>
        <v/>
      </c>
      <c r="L11" s="35">
        <f>SUM(L4:L10)</f>
        <v/>
      </c>
      <c r="M11" s="35">
        <f>SUM(M4:M10)</f>
        <v/>
      </c>
      <c r="N11" s="35">
        <f>SUM(N4:N10)</f>
        <v/>
      </c>
      <c r="O11" s="35">
        <f>SUM(O4:O10)</f>
        <v/>
      </c>
      <c r="P11" s="35">
        <f>SUM(P4:P10)</f>
        <v/>
      </c>
      <c r="Q11" s="36">
        <f>SUM(Q4:Q10)</f>
        <v/>
      </c>
      <c r="R11" s="36">
        <f>SUM(R4:R10)</f>
        <v/>
      </c>
      <c r="S11" s="36">
        <f>SUM(S4:S10)</f>
        <v/>
      </c>
      <c r="T11" s="36">
        <f>SUM(T4:T10)</f>
        <v/>
      </c>
      <c r="U11" s="36">
        <f>SUM(U4:U10)</f>
        <v/>
      </c>
    </row>
  </sheetData>
  <mergeCells count="1">
    <mergeCell ref="A2:U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1" t="inlineStr">
        <is>
          <t>Pipeline summary</t>
        </is>
      </c>
    </row>
    <row r="2">
      <c r="A2" s="2" t="inlineStr">
        <is>
          <t>Board-grade roll-up of weighted pipeline.</t>
        </is>
      </c>
    </row>
    <row r="4">
      <c r="A4" s="5" t="inlineStr">
        <is>
          <t>By stage</t>
        </is>
      </c>
    </row>
    <row r="5">
      <c r="A5" s="13" t="inlineStr">
        <is>
          <t>Stage</t>
        </is>
      </c>
      <c r="B5" s="13" t="inlineStr">
        <is>
          <t>Deal count</t>
        </is>
      </c>
      <c r="C5" s="13" t="inlineStr">
        <is>
          <t>Contract value AUD</t>
        </is>
      </c>
      <c r="D5" s="13" t="inlineStr">
        <is>
          <t>Weighted AUD</t>
        </is>
      </c>
    </row>
    <row r="6">
      <c r="A6" s="3" t="inlineStr">
        <is>
          <t>Discovery</t>
        </is>
      </c>
      <c r="B6" s="37">
        <f>COUNTIF(Deals!$E:$E,"Discovery")</f>
        <v/>
      </c>
      <c r="C6" s="33">
        <f>SUMIFS(Deals!$AK:$AK,Deals!$E:$E,"Discovery")</f>
        <v/>
      </c>
      <c r="D6" s="33">
        <f>SUMIFS(Deals!$AM:$AM,Deals!$E:$E,"Discovery")</f>
        <v/>
      </c>
    </row>
    <row r="7">
      <c r="A7" s="3" t="inlineStr">
        <is>
          <t>Proposal</t>
        </is>
      </c>
      <c r="B7" s="37">
        <f>COUNTIF(Deals!$E:$E,"Proposal")</f>
        <v/>
      </c>
      <c r="C7" s="33">
        <f>SUMIFS(Deals!$AK:$AK,Deals!$E:$E,"Proposal")</f>
        <v/>
      </c>
      <c r="D7" s="33">
        <f>SUMIFS(Deals!$AM:$AM,Deals!$E:$E,"Proposal")</f>
        <v/>
      </c>
    </row>
    <row r="8">
      <c r="A8" s="3" t="inlineStr">
        <is>
          <t>Negotiation</t>
        </is>
      </c>
      <c r="B8" s="37">
        <f>COUNTIF(Deals!$E:$E,"Negotiation")</f>
        <v/>
      </c>
      <c r="C8" s="33">
        <f>SUMIFS(Deals!$AK:$AK,Deals!$E:$E,"Negotiation")</f>
        <v/>
      </c>
      <c r="D8" s="33">
        <f>SUMIFS(Deals!$AM:$AM,Deals!$E:$E,"Negotiation")</f>
        <v/>
      </c>
    </row>
    <row r="9">
      <c r="A9" s="3" t="inlineStr">
        <is>
          <t>Verbal commit</t>
        </is>
      </c>
      <c r="B9" s="37">
        <f>COUNTIF(Deals!$E:$E,"Verbal commit")</f>
        <v/>
      </c>
      <c r="C9" s="33">
        <f>SUMIFS(Deals!$AK:$AK,Deals!$E:$E,"Verbal commit")</f>
        <v/>
      </c>
      <c r="D9" s="33">
        <f>SUMIFS(Deals!$AM:$AM,Deals!$E:$E,"Verbal commit")</f>
        <v/>
      </c>
    </row>
    <row r="10">
      <c r="A10" s="3" t="inlineStr">
        <is>
          <t>Closed Won</t>
        </is>
      </c>
      <c r="B10" s="37">
        <f>COUNTIF(Deals!$E:$E,"Closed Won")</f>
        <v/>
      </c>
      <c r="C10" s="33">
        <f>SUMIFS(Deals!$AK:$AK,Deals!$E:$E,"Closed Won")</f>
        <v/>
      </c>
      <c r="D10" s="33">
        <f>SUMIFS(Deals!$AM:$AM,Deals!$E:$E,"Closed Won")</f>
        <v/>
      </c>
    </row>
    <row r="11">
      <c r="A11" s="3" t="inlineStr">
        <is>
          <t>Closed Lost</t>
        </is>
      </c>
      <c r="B11" s="37">
        <f>COUNTIF(Deals!$E:$E,"Closed Lost")</f>
        <v/>
      </c>
      <c r="C11" s="33">
        <f>SUMIFS(Deals!$AK:$AK,Deals!$E:$E,"Closed Lost")</f>
        <v/>
      </c>
      <c r="D11" s="33">
        <f>SUMIFS(Deals!$AM:$AM,Deals!$E:$E,"Closed Lost")</f>
        <v/>
      </c>
    </row>
    <row r="12">
      <c r="A12" s="38" t="inlineStr">
        <is>
          <t>TOTAL</t>
        </is>
      </c>
      <c r="B12" s="39">
        <f>SUM(B6:B11)</f>
        <v/>
      </c>
      <c r="C12" s="36">
        <f>SUM(C6:C11)</f>
        <v/>
      </c>
      <c r="D12" s="36">
        <f>SUM(D6:D11)</f>
        <v/>
      </c>
    </row>
    <row r="15">
      <c r="A15" s="5" t="inlineStr">
        <is>
          <t>Forecast by year — AUD (3 views)</t>
        </is>
      </c>
    </row>
    <row r="16">
      <c r="A16" s="13" t="inlineStr">
        <is>
          <t>Period</t>
        </is>
      </c>
      <c r="B16" s="13" t="inlineStr">
        <is>
          <t>Unweighted (if all signed)</t>
        </is>
      </c>
      <c r="C16" s="13" t="inlineStr">
        <is>
          <t>Stage-weighted (per-deal prob)</t>
        </is>
      </c>
      <c r="D16" s="13" t="inlineStr">
        <is>
          <t>Pipeline-discounted (global)</t>
        </is>
      </c>
      <c r="E16" s="13" t="inlineStr">
        <is>
          <t>Discount rate</t>
        </is>
      </c>
    </row>
    <row r="17">
      <c r="A17" s="3" t="inlineStr">
        <is>
          <t>Yr1</t>
        </is>
      </c>
      <c r="B17" s="33">
        <f>IFERROR(INDEX(Forecast_Monthly_Y1!U:U,MATCH("TOTAL",Forecast_Monthly_Y1!A:A,0)),0)</f>
        <v/>
      </c>
      <c r="C17" s="33">
        <f>IFERROR(INDEX(Forecast_Monthly_Y1!V:V,MATCH("TOTAL",Forecast_Monthly_Y1!A:A,0)),0)</f>
        <v/>
      </c>
      <c r="D17" s="34">
        <f>IFERROR(INDEX(Forecast_Monthly_Y1!U:U,MATCH("TOTAL",Forecast_Monthly_Y1!A:A,0)),0)*Parameters!$B$11</f>
        <v/>
      </c>
      <c r="E17" s="31">
        <f>Parameters!$B$11</f>
        <v/>
      </c>
    </row>
    <row r="18">
      <c r="A18" s="3" t="inlineStr">
        <is>
          <t>Yr2</t>
        </is>
      </c>
      <c r="B18" s="33">
        <f>IFERROR(INDEX(Forecast_Quarterly_Y2Y3!Q:Q,MATCH("TOTAL",Forecast_Quarterly_Y2Y3!A:A,0)),0)</f>
        <v/>
      </c>
      <c r="C18" s="33">
        <f>IFERROR(INDEX(Forecast_Quarterly_Y2Y3!T:T,MATCH("TOTAL",Forecast_Quarterly_Y2Y3!A:A,0)),0)</f>
        <v/>
      </c>
      <c r="D18" s="34">
        <f>IFERROR(INDEX(Forecast_Quarterly_Y2Y3!Q:Q,MATCH("TOTAL",Forecast_Quarterly_Y2Y3!A:A,0)),0)*Parameters!$B$11</f>
        <v/>
      </c>
      <c r="E18" s="31">
        <f>Parameters!$B$11</f>
        <v/>
      </c>
    </row>
    <row r="19">
      <c r="A19" s="3" t="inlineStr">
        <is>
          <t>Yr3</t>
        </is>
      </c>
      <c r="B19" s="33">
        <f>IFERROR(INDEX(Forecast_Quarterly_Y2Y3!R:R,MATCH("TOTAL",Forecast_Quarterly_Y2Y3!A:A,0)),0)</f>
        <v/>
      </c>
      <c r="C19" s="33">
        <f>IFERROR(INDEX(Forecast_Quarterly_Y2Y3!U:U,MATCH("TOTAL",Forecast_Quarterly_Y2Y3!A:A,0)),0)</f>
        <v/>
      </c>
      <c r="D19" s="34">
        <f>IFERROR(INDEX(Forecast_Quarterly_Y2Y3!R:R,MATCH("TOTAL",Forecast_Quarterly_Y2Y3!A:A,0)),0)*Parameters!$B$11</f>
        <v/>
      </c>
      <c r="E19" s="31">
        <f>Parameters!$B$11</f>
        <v/>
      </c>
    </row>
    <row r="20">
      <c r="A20" s="38" t="inlineStr">
        <is>
          <t>3-year total</t>
        </is>
      </c>
      <c r="B20" s="36">
        <f>SUM(B17:B19)</f>
        <v/>
      </c>
      <c r="C20" s="36">
        <f>SUM(C17:C19)</f>
        <v/>
      </c>
      <c r="D20" s="36">
        <f>SUM(D17:D19)</f>
        <v/>
      </c>
    </row>
  </sheetData>
  <mergeCells count="2">
    <mergeCell ref="A15:E15"/>
    <mergeCell ref="A4:D4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Client view</t>
        </is>
      </c>
    </row>
    <row r="2">
      <c r="A2" s="2" t="inlineStr">
        <is>
          <t>Set the client slug in B3 to filter. Useful for sharing externally.</t>
        </is>
      </c>
    </row>
    <row r="3">
      <c r="A3" s="40" t="inlineStr">
        <is>
          <t>Client slug:</t>
        </is>
      </c>
      <c r="B3" s="41" t="inlineStr">
        <is>
          <t>rapha</t>
        </is>
      </c>
    </row>
    <row r="4">
      <c r="A4" s="40" t="inlineStr">
        <is>
          <t>Client name:</t>
        </is>
      </c>
      <c r="B4" s="30">
        <f>IFERROR(INDEX(Calculator!B:B,MATCH($B$3,Calculator!A:A,0)),"NOT FOUND")</f>
        <v/>
      </c>
    </row>
    <row r="6">
      <c r="A6" s="9" t="inlineStr">
        <is>
          <t>Scenario</t>
        </is>
      </c>
      <c r="B6" s="10" t="inlineStr">
        <is>
          <t>base</t>
        </is>
      </c>
      <c r="C6" s="10" t="inlineStr">
        <is>
          <t>likely</t>
        </is>
      </c>
      <c r="D6" s="10" t="inlineStr">
        <is>
          <t>high</t>
        </is>
      </c>
    </row>
    <row r="7">
      <c r="A7" s="3" t="inlineStr">
        <is>
          <t>Members yr1</t>
        </is>
      </c>
      <c r="B7" s="42">
        <f>SUMIFS(Calculator!F:F,Calculator!A:A,$B$3,Calculator!C:C,B6)</f>
        <v/>
      </c>
      <c r="C7" s="42">
        <f>SUMIFS(Calculator!F:F,Calculator!A:A,$B$3,Calculator!C:C,C6)</f>
        <v/>
      </c>
      <c r="D7" s="42">
        <f>SUMIFS(Calculator!F:F,Calculator!A:A,$B$3,Calculator!C:C,D6)</f>
        <v/>
      </c>
    </row>
    <row r="8">
      <c r="A8" s="43" t="inlineStr">
        <is>
          <t>Members yr2</t>
        </is>
      </c>
      <c r="B8" s="42">
        <f>SUMIFS(Calculator!G:G,Calculator!A:A,$B$3,Calculator!C:C,B6)</f>
        <v/>
      </c>
      <c r="C8" s="42">
        <f>SUMIFS(Calculator!G:G,Calculator!A:A,$B$3,Calculator!C:C,C6)</f>
        <v/>
      </c>
      <c r="D8" s="42">
        <f>SUMIFS(Calculator!G:G,Calculator!A:A,$B$3,Calculator!C:C,D6)</f>
        <v/>
      </c>
    </row>
    <row r="9">
      <c r="A9" s="3" t="inlineStr">
        <is>
          <t>Members yr3</t>
        </is>
      </c>
      <c r="B9" s="42">
        <f>SUMIFS(Calculator!H:H,Calculator!A:A,$B$3,Calculator!C:C,B6)</f>
        <v/>
      </c>
      <c r="C9" s="42">
        <f>SUMIFS(Calculator!H:H,Calculator!A:A,$B$3,Calculator!C:C,C6)</f>
        <v/>
      </c>
      <c r="D9" s="42">
        <f>SUMIFS(Calculator!H:H,Calculator!A:A,$B$3,Calculator!C:C,D6)</f>
        <v/>
      </c>
    </row>
    <row r="10">
      <c r="A10" s="43" t="inlineStr">
        <is>
          <t>Conversion yr1</t>
        </is>
      </c>
      <c r="B10" s="44">
        <f>SUMIFS(Calculator!I:I,Calculator!A:A,$B$3,Calculator!C:C,B6)</f>
        <v/>
      </c>
      <c r="C10" s="44">
        <f>SUMIFS(Calculator!I:I,Calculator!A:A,$B$3,Calculator!C:C,C6)</f>
        <v/>
      </c>
      <c r="D10" s="44">
        <f>SUMIFS(Calculator!I:I,Calculator!A:A,$B$3,Calculator!C:C,D6)</f>
        <v/>
      </c>
    </row>
    <row r="11">
      <c r="A11" s="3" t="inlineStr">
        <is>
          <t>Bookings yr1</t>
        </is>
      </c>
      <c r="B11" s="42">
        <f>SUMIFS(Calculator!AH:AH,Calculator!A:A,$B$3,Calculator!C:C,B6)</f>
        <v/>
      </c>
      <c r="C11" s="42">
        <f>SUMIFS(Calculator!AH:AH,Calculator!A:A,$B$3,Calculator!C:C,C6)</f>
        <v/>
      </c>
      <c r="D11" s="42">
        <f>SUMIFS(Calculator!AH:AH,Calculator!A:A,$B$3,Calculator!C:C,D6)</f>
        <v/>
      </c>
    </row>
    <row r="12">
      <c r="A12" s="43" t="inlineStr">
        <is>
          <t>Bookings 3yr</t>
        </is>
      </c>
      <c r="B12" s="42">
        <f>SUMIFS(Calculator!AK:AK,Calculator!A:A,$B$3,Calculator!C:C,B6)</f>
        <v/>
      </c>
      <c r="C12" s="42">
        <f>SUMIFS(Calculator!AK:AK,Calculator!A:A,$B$3,Calculator!C:C,C6)</f>
        <v/>
      </c>
      <c r="D12" s="42">
        <f>SUMIFS(Calculator!AK:AK,Calculator!A:A,$B$3,Calculator!C:C,D6)</f>
        <v/>
      </c>
    </row>
    <row r="13">
      <c r="A13" s="3" t="inlineStr">
        <is>
          <t>Platform fee yr1</t>
        </is>
      </c>
      <c r="B13" s="45">
        <f>SUMIFS(Calculator!AQ:AQ,Calculator!A:A,$B$3,Calculator!C:C,B6)</f>
        <v/>
      </c>
      <c r="C13" s="45">
        <f>SUMIFS(Calculator!AQ:AQ,Calculator!A:A,$B$3,Calculator!C:C,C6)</f>
        <v/>
      </c>
      <c r="D13" s="45">
        <f>SUMIFS(Calculator!AQ:AQ,Calculator!A:A,$B$3,Calculator!C:C,D6)</f>
        <v/>
      </c>
    </row>
    <row r="14">
      <c r="A14" s="43" t="inlineStr">
        <is>
          <t>Platform fee 3yr</t>
        </is>
      </c>
      <c r="B14" s="45">
        <f>SUMIFS(Calculator!BQ:BQ,Calculator!A:A,$B$3,Calculator!C:C,B6)</f>
        <v/>
      </c>
      <c r="C14" s="45">
        <f>SUMIFS(Calculator!BQ:BQ,Calculator!A:A,$B$3,Calculator!C:C,C6)</f>
        <v/>
      </c>
      <c r="D14" s="45">
        <f>SUMIFS(Calculator!BQ:BQ,Calculator!A:A,$B$3,Calculator!C:C,D6)</f>
        <v/>
      </c>
    </row>
    <row r="15">
      <c r="A15" s="3" t="inlineStr">
        <is>
          <t>Exclusivity net to TA</t>
        </is>
      </c>
      <c r="B15" s="45">
        <f>SUMIFS(Calculator!BH:BH,Calculator!A:A,$B$3,Calculator!C:C,B6)</f>
        <v/>
      </c>
      <c r="C15" s="45">
        <f>SUMIFS(Calculator!BH:BH,Calculator!A:A,$B$3,Calculator!C:C,C6)</f>
        <v/>
      </c>
      <c r="D15" s="45">
        <f>SUMIFS(Calculator!BH:BH,Calculator!A:A,$B$3,Calculator!C:C,D6)</f>
        <v/>
      </c>
    </row>
    <row r="16">
      <c r="A16" s="43" t="inlineStr">
        <is>
          <t>TA revenue yr1</t>
        </is>
      </c>
      <c r="B16" s="45">
        <f>SUMIFS(Calculator!BN:BN,Calculator!A:A,$B$3,Calculator!C:C,B6)</f>
        <v/>
      </c>
      <c r="C16" s="45">
        <f>SUMIFS(Calculator!BN:BN,Calculator!A:A,$B$3,Calculator!C:C,C6)</f>
        <v/>
      </c>
      <c r="D16" s="45">
        <f>SUMIFS(Calculator!BN:BN,Calculator!A:A,$B$3,Calculator!C:C,D6)</f>
        <v/>
      </c>
    </row>
    <row r="17">
      <c r="A17" s="3" t="inlineStr">
        <is>
          <t>TA revenue 3yr</t>
        </is>
      </c>
      <c r="B17" s="45">
        <f>SUMIFS(Calculator!BQ:BQ,Calculator!A:A,$B$3,Calculator!C:C,B6)</f>
        <v/>
      </c>
      <c r="C17" s="45">
        <f>SUMIFS(Calculator!BQ:BQ,Calculator!A:A,$B$3,Calculator!C:C,C6)</f>
        <v/>
      </c>
      <c r="D17" s="45">
        <f>SUMIFS(Calculator!BQ:BQ,Calculator!A:A,$B$3,Calculator!C:C,D6)</f>
        <v/>
      </c>
    </row>
    <row r="18">
      <c r="A18" s="43" t="inlineStr">
        <is>
          <t>TA cost 3yr</t>
        </is>
      </c>
      <c r="B18" s="45">
        <f>SUMIFS(Calculator!BU:BU,Calculator!A:A,$B$3,Calculator!C:C,B6)</f>
        <v/>
      </c>
      <c r="C18" s="45">
        <f>SUMIFS(Calculator!BU:BU,Calculator!A:A,$B$3,Calculator!C:C,C6)</f>
        <v/>
      </c>
      <c r="D18" s="45">
        <f>SUMIFS(Calculator!BU:BU,Calculator!A:A,$B$3,Calculator!C:C,D6)</f>
        <v/>
      </c>
    </row>
    <row r="19">
      <c r="A19" s="3" t="inlineStr">
        <is>
          <t>TA net 3yr</t>
        </is>
      </c>
      <c r="B19" s="45">
        <f>SUMIFS(Calculator!BY:BY,Calculator!A:A,$B$3,Calculator!C:C,B6)</f>
        <v/>
      </c>
      <c r="C19" s="45">
        <f>SUMIFS(Calculator!BY:BY,Calculator!A:A,$B$3,Calculator!C:C,C6)</f>
        <v/>
      </c>
      <c r="D19" s="45">
        <f>SUMIFS(Calculator!BY:BY,Calculator!A:A,$B$3,Calculator!C:C,D6)</f>
        <v/>
      </c>
    </row>
    <row r="20">
      <c r="A20" s="43" t="inlineStr">
        <is>
          <t>Client revenue 3yr</t>
        </is>
      </c>
      <c r="B20" s="45">
        <f>SUMIFS(Calculator!CG:CG,Calculator!A:A,$B$3,Calculator!C:C,B6)</f>
        <v/>
      </c>
      <c r="C20" s="45">
        <f>SUMIFS(Calculator!CG:CG,Calculator!A:A,$B$3,Calculator!C:C,C6)</f>
        <v/>
      </c>
      <c r="D20" s="45">
        <f>SUMIFS(Calculator!CG:CG,Calculator!A:A,$B$3,Calculator!C:C,D6)</f>
        <v/>
      </c>
    </row>
    <row r="21">
      <c r="A21" s="3" t="inlineStr">
        <is>
          <t>Client net yr1</t>
        </is>
      </c>
      <c r="B21" s="45">
        <f>SUMIFS(Calculator!CL:CL,Calculator!A:A,$B$3,Calculator!C:C,B6)</f>
        <v/>
      </c>
      <c r="C21" s="45">
        <f>SUMIFS(Calculator!CL:CL,Calculator!A:A,$B$3,Calculator!C:C,C6)</f>
        <v/>
      </c>
      <c r="D21" s="45">
        <f>SUMIFS(Calculator!CL:CL,Calculator!A:A,$B$3,Calculator!C:C,D6)</f>
        <v/>
      </c>
    </row>
    <row r="22">
      <c r="A22" s="43" t="inlineStr">
        <is>
          <t>Client net 3yr</t>
        </is>
      </c>
      <c r="B22" s="45">
        <f>SUMIFS(Calculator!CO:CO,Calculator!A:A,$B$3,Calculator!C:C,B6)</f>
        <v/>
      </c>
      <c r="C22" s="45">
        <f>SUMIFS(Calculator!CO:CO,Calculator!A:A,$B$3,Calculator!C:C,C6)</f>
        <v/>
      </c>
      <c r="D22" s="45">
        <f>SUMIFS(Calculator!CO:CO,Calculator!A:A,$B$3,Calculator!C:C,D6)</f>
        <v/>
      </c>
    </row>
    <row r="23">
      <c r="A23" s="3" t="inlineStr">
        <is>
          <t>Net return / member yr1</t>
        </is>
      </c>
      <c r="B23" s="46">
        <f>SUMIFS(Calculator!CP:CP,Calculator!A:A,$B$3,Calculator!C:C,B6)</f>
        <v/>
      </c>
      <c r="C23" s="46">
        <f>SUMIFS(Calculator!CP:CP,Calculator!A:A,$B$3,Calculator!C:C,C6)</f>
        <v/>
      </c>
      <c r="D23" s="46">
        <f>SUMIFS(Calculator!CP:CP,Calculator!A:A,$B$3,Calculator!C:C,D6)</f>
        <v/>
      </c>
    </row>
    <row r="24">
      <c r="A24" s="43" t="inlineStr">
        <is>
          <t>Net return / member 3yr</t>
        </is>
      </c>
      <c r="B24" s="46">
        <f>SUMIFS(Calculator!CQ:CQ,Calculator!A:A,$B$3,Calculator!C:C,B6)</f>
        <v/>
      </c>
      <c r="C24" s="46">
        <f>SUMIFS(Calculator!CQ:CQ,Calculator!A:A,$B$3,Calculator!C:C,C6)</f>
        <v/>
      </c>
      <c r="D24" s="46">
        <f>SUMIFS(Calculator!CQ:CQ,Calculator!A:A,$B$3,Calculator!C:C,D6)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2026-06-03T00:57:07Z</dcterms:created>
  <dcterms:modified xsi:type="dcterms:W3CDTF">2026-06-03T00:57:07Z</dcterms:modified>
</cp:coreProperties>
</file>